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threadedComments/threadedComment1.xml" ContentType="application/vnd.ms-excel.threadedcomments+xml"/>
  <Override PartName="/xl/comments5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\\10.7.206.52\Users\15527551-0\Desktop\Control de Gestión 2\3.  19.813 APS - Oficial\2023\02 Fijación Metas 2023\"/>
    </mc:Choice>
  </mc:AlternateContent>
  <xr:revisionPtr revIDLastSave="0" documentId="13_ncr:1_{E5DF434A-BCC3-4555-B86D-3B8CEF8FB778}" xr6:coauthVersionLast="47" xr6:coauthVersionMax="47" xr10:uidLastSave="{00000000-0000-0000-0000-000000000000}"/>
  <bookViews>
    <workbookView xWindow="420" yWindow="300" windowWidth="28005" windowHeight="15240" tabRatio="885" activeTab="21" xr2:uid="{00000000-000D-0000-FFFF-FFFF00000000}"/>
  </bookViews>
  <sheets>
    <sheet name="Portada" sheetId="12" r:id="rId1"/>
    <sheet name="1" sheetId="2" r:id="rId2"/>
    <sheet name="2" sheetId="3" r:id="rId3"/>
    <sheet name="PAP ref" sheetId="19" r:id="rId4"/>
    <sheet name="3a" sheetId="4" r:id="rId5"/>
    <sheet name="3b" sheetId="5" r:id="rId6"/>
    <sheet name="Odon. ref" sheetId="20" r:id="rId7"/>
    <sheet name="4a" sheetId="6" state="hidden" r:id="rId8"/>
    <sheet name="4a -DM2 Ref" sheetId="25" r:id="rId9"/>
    <sheet name="4b - Cálculo" sheetId="26" r:id="rId10"/>
    <sheet name="4b" sheetId="7" state="hidden" r:id="rId11"/>
    <sheet name="5" sheetId="8" state="hidden" r:id="rId12"/>
    <sheet name="5 - HTA ref" sheetId="21" r:id="rId13"/>
    <sheet name="6" sheetId="9" state="hidden" r:id="rId14"/>
    <sheet name="6 - meta 2023 Ref" sheetId="22" r:id="rId15"/>
    <sheet name="6 - Cálculo brecha Ref" sheetId="23" state="hidden" r:id="rId16"/>
    <sheet name="Diciembre 2022" sheetId="24" state="hidden" r:id="rId17"/>
    <sheet name="META 7" sheetId="27" r:id="rId18"/>
    <sheet name="7" sheetId="13" state="hidden" r:id="rId19"/>
    <sheet name="8" sheetId="10" r:id="rId20"/>
    <sheet name="2023" sheetId="17" r:id="rId21"/>
    <sheet name="Hoja1" sheetId="28" r:id="rId22"/>
    <sheet name="Consolidado" sheetId="11" state="hidden" r:id="rId23"/>
    <sheet name="Cálculo brechas 2022" sheetId="1" state="hidden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_xlnm._FilterDatabase" localSheetId="20" hidden="1">'2023'!$B$3:$P$47</definedName>
    <definedName name="_xlnm._FilterDatabase" localSheetId="8" hidden="1">'4a -DM2 Ref'!$A$10:$L$45</definedName>
    <definedName name="_xlnm._FilterDatabase" localSheetId="12" hidden="1">'5 - HTA ref'!$A$10:$R$45</definedName>
    <definedName name="_xlnm._FilterDatabase" localSheetId="13" hidden="1">'6'!$DR$8:$EJ$41</definedName>
    <definedName name="_xlnm._FilterDatabase" localSheetId="14" hidden="1">'6 - meta 2023 Ref'!$B$2:$AL$36</definedName>
    <definedName name="_xlnm.Print_Area" localSheetId="11">'5'!$DD$2:$DP$41</definedName>
    <definedName name="_xlnm.Print_Area" localSheetId="22">Consolidado!$B$2:$L$36</definedName>
    <definedName name="BULNES">#REF!</definedName>
    <definedName name="CHILLÁN">#REF!</definedName>
    <definedName name="CHILLÁN_VIEJO">#REF!</definedName>
    <definedName name="CHILLÁN2">#REF!</definedName>
    <definedName name="COBQUECURA">#REF!</definedName>
    <definedName name="COELEMU">#REF!</definedName>
    <definedName name="COIHUECO">#REF!</definedName>
    <definedName name="COMUNA">#REF!</definedName>
    <definedName name="EL_CARMEN">#REF!</definedName>
    <definedName name="NINHUE">#REF!</definedName>
    <definedName name="ÑIQUÉN">#REF!</definedName>
    <definedName name="PEMUCO">#REF!</definedName>
    <definedName name="PINTO">#REF!</definedName>
    <definedName name="PORTEZUELO">#REF!</definedName>
    <definedName name="QUILLÓN">#REF!</definedName>
    <definedName name="QUIRIHUE">#REF!</definedName>
    <definedName name="RÁNQUIL">#REF!</definedName>
    <definedName name="SAN_CARLOS">#REF!</definedName>
    <definedName name="SAN_FABIÁN">#REF!</definedName>
    <definedName name="SAN_IGNACIO">#REF!</definedName>
    <definedName name="SAN_NICOLÁS">#REF!</definedName>
    <definedName name="SELECCIÓN">#REF!</definedName>
    <definedName name="SELECTO">#REF!</definedName>
    <definedName name="Tabla3">[1]!Tabla2[[CONCATE]:[% Cumplimiento]]</definedName>
    <definedName name="TREHUACO">#REF!</definedName>
    <definedName name="YUNGA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1" i="25" l="1"/>
  <c r="G31" i="25"/>
  <c r="E31" i="25"/>
  <c r="I34" i="17" l="1"/>
  <c r="I31" i="17"/>
  <c r="I32" i="17"/>
  <c r="I33" i="17"/>
  <c r="I35" i="17"/>
  <c r="I36" i="17"/>
  <c r="I30" i="17"/>
  <c r="I26" i="17"/>
  <c r="I23" i="17"/>
  <c r="I24" i="17"/>
  <c r="I25" i="17"/>
  <c r="I27" i="17"/>
  <c r="I28" i="17"/>
  <c r="I22" i="17"/>
  <c r="I5" i="17"/>
  <c r="I6" i="17"/>
  <c r="I7" i="17"/>
  <c r="I8" i="17"/>
  <c r="I9" i="17"/>
  <c r="I10" i="17"/>
  <c r="I11" i="17"/>
  <c r="I12" i="17"/>
  <c r="I13" i="17"/>
  <c r="I14" i="17"/>
  <c r="I15" i="17"/>
  <c r="I16" i="17"/>
  <c r="I17" i="17"/>
  <c r="I18" i="17"/>
  <c r="I19" i="17"/>
  <c r="I20" i="17"/>
  <c r="I4" i="17"/>
  <c r="G31" i="17"/>
  <c r="G32" i="17"/>
  <c r="G33" i="17"/>
  <c r="G34" i="17"/>
  <c r="G35" i="17"/>
  <c r="G36" i="17"/>
  <c r="G30" i="17"/>
  <c r="G23" i="17"/>
  <c r="G24" i="17"/>
  <c r="G25" i="17"/>
  <c r="G26" i="17"/>
  <c r="G27" i="17"/>
  <c r="G28" i="17"/>
  <c r="G22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4" i="17"/>
  <c r="D39" i="21" l="1"/>
  <c r="E39" i="21" s="1"/>
  <c r="D41" i="21"/>
  <c r="D40" i="21"/>
  <c r="E40" i="21" s="1"/>
  <c r="CL9" i="6"/>
  <c r="D12" i="25"/>
  <c r="E12" i="25" s="1"/>
  <c r="K22" i="20"/>
  <c r="K12" i="20"/>
  <c r="G31" i="27"/>
  <c r="G32" i="27"/>
  <c r="G33" i="27"/>
  <c r="G34" i="27"/>
  <c r="G35" i="27"/>
  <c r="G36" i="27"/>
  <c r="G30" i="27"/>
  <c r="G23" i="27"/>
  <c r="G24" i="27"/>
  <c r="G25" i="27"/>
  <c r="G27" i="27"/>
  <c r="G28" i="27"/>
  <c r="G22" i="27"/>
  <c r="G5" i="27"/>
  <c r="G6" i="27"/>
  <c r="G7" i="27"/>
  <c r="G8" i="27"/>
  <c r="G9" i="27"/>
  <c r="G10" i="27"/>
  <c r="G11" i="27"/>
  <c r="G12" i="27"/>
  <c r="G13" i="27"/>
  <c r="G14" i="27"/>
  <c r="G15" i="27"/>
  <c r="G16" i="27"/>
  <c r="G17" i="27"/>
  <c r="G18" i="27"/>
  <c r="G19" i="27"/>
  <c r="G20" i="27"/>
  <c r="G4" i="27"/>
  <c r="BS10" i="5"/>
  <c r="BS11" i="5"/>
  <c r="BS12" i="5"/>
  <c r="BS13" i="5"/>
  <c r="BS14" i="5"/>
  <c r="BS15" i="5"/>
  <c r="BS16" i="5"/>
  <c r="BS17" i="5"/>
  <c r="BS18" i="5"/>
  <c r="BS19" i="5"/>
  <c r="BS20" i="5"/>
  <c r="BS21" i="5"/>
  <c r="BS22" i="5"/>
  <c r="BS23" i="5"/>
  <c r="BS24" i="5"/>
  <c r="BS25" i="5"/>
  <c r="BS27" i="5"/>
  <c r="BS28" i="5"/>
  <c r="BS29" i="5"/>
  <c r="BS30" i="5"/>
  <c r="BS31" i="5"/>
  <c r="BS32" i="5"/>
  <c r="BS33" i="5"/>
  <c r="BS35" i="5"/>
  <c r="BS36" i="5"/>
  <c r="BS37" i="5"/>
  <c r="BS38" i="5"/>
  <c r="BS39" i="5"/>
  <c r="BS40" i="5"/>
  <c r="BS41" i="5"/>
  <c r="BS9" i="5"/>
  <c r="BP36" i="5"/>
  <c r="BO36" i="5"/>
  <c r="BN36" i="5"/>
  <c r="BM36" i="5"/>
  <c r="BL36" i="5"/>
  <c r="AJ3" i="22"/>
  <c r="AM3" i="22" s="1"/>
  <c r="J45" i="27"/>
  <c r="L37" i="27"/>
  <c r="L44" i="27" s="1"/>
  <c r="K37" i="27"/>
  <c r="K44" i="27" s="1"/>
  <c r="M36" i="27"/>
  <c r="N36" i="27" s="1"/>
  <c r="BC35" i="27"/>
  <c r="M35" i="27"/>
  <c r="N35" i="27" s="1"/>
  <c r="CP34" i="27"/>
  <c r="CO34" i="27"/>
  <c r="CN34" i="27"/>
  <c r="CH34" i="27"/>
  <c r="CD34" i="27"/>
  <c r="CB34" i="27"/>
  <c r="BV34" i="27"/>
  <c r="BR34" i="27"/>
  <c r="BP34" i="27"/>
  <c r="BK34" i="27"/>
  <c r="BI34" i="27"/>
  <c r="BE34" i="27"/>
  <c r="BC34" i="27"/>
  <c r="AY34" i="27"/>
  <c r="AW34" i="27"/>
  <c r="AS34" i="27"/>
  <c r="AQ34" i="27"/>
  <c r="M34" i="27"/>
  <c r="N34" i="27" s="1"/>
  <c r="CI34" i="27"/>
  <c r="BX34" i="27"/>
  <c r="BW34" i="27"/>
  <c r="BJ34" i="27"/>
  <c r="BD34" i="27"/>
  <c r="AX34" i="27"/>
  <c r="CP33" i="27"/>
  <c r="CO33" i="27"/>
  <c r="CN33" i="27"/>
  <c r="CI33" i="27"/>
  <c r="CH33" i="27"/>
  <c r="CD33" i="27"/>
  <c r="CB33" i="27"/>
  <c r="BV33" i="27"/>
  <c r="BR33" i="27"/>
  <c r="BP33" i="27"/>
  <c r="BK33" i="27"/>
  <c r="BI33" i="27"/>
  <c r="BE33" i="27"/>
  <c r="BC33" i="27"/>
  <c r="AY33" i="27"/>
  <c r="AW33" i="27"/>
  <c r="AS33" i="27"/>
  <c r="AQ33" i="27"/>
  <c r="M33" i="27"/>
  <c r="CQ33" i="27" s="1"/>
  <c r="CC33" i="27"/>
  <c r="BX33" i="27"/>
  <c r="BW33" i="27"/>
  <c r="BJ33" i="27"/>
  <c r="AX33" i="27"/>
  <c r="BC32" i="27"/>
  <c r="M32" i="27"/>
  <c r="N32" i="27" s="1"/>
  <c r="CP31" i="27"/>
  <c r="CO31" i="27"/>
  <c r="CN31" i="27"/>
  <c r="CH31" i="27"/>
  <c r="CD31" i="27"/>
  <c r="CB31" i="27"/>
  <c r="BV31" i="27"/>
  <c r="BR31" i="27"/>
  <c r="BP31" i="27"/>
  <c r="BK31" i="27"/>
  <c r="BI31" i="27"/>
  <c r="BE31" i="27"/>
  <c r="BC31" i="27"/>
  <c r="AY31" i="27"/>
  <c r="AW31" i="27"/>
  <c r="AS31" i="27"/>
  <c r="AQ31" i="27"/>
  <c r="M31" i="27"/>
  <c r="CQ31" i="27" s="1"/>
  <c r="CI31" i="27"/>
  <c r="BX31" i="27"/>
  <c r="BW31" i="27"/>
  <c r="BF31" i="27"/>
  <c r="AX31" i="27"/>
  <c r="AR31" i="27"/>
  <c r="CP30" i="27"/>
  <c r="CO30" i="27"/>
  <c r="CN30" i="27"/>
  <c r="CH30" i="27"/>
  <c r="CD30" i="27"/>
  <c r="CB30" i="27"/>
  <c r="BV30" i="27"/>
  <c r="BR30" i="27"/>
  <c r="BP30" i="27"/>
  <c r="BK30" i="27"/>
  <c r="BI30" i="27"/>
  <c r="BE30" i="27"/>
  <c r="BC30" i="27"/>
  <c r="AY30" i="27"/>
  <c r="AW30" i="27"/>
  <c r="AS30" i="27"/>
  <c r="AQ30" i="27"/>
  <c r="M30" i="27"/>
  <c r="CQ30" i="27" s="1"/>
  <c r="CI30" i="27"/>
  <c r="BQ30" i="27"/>
  <c r="BJ30" i="27"/>
  <c r="BD30" i="27"/>
  <c r="L29" i="27"/>
  <c r="L43" i="27" s="1"/>
  <c r="K29" i="27"/>
  <c r="K43" i="27" s="1"/>
  <c r="M28" i="27"/>
  <c r="N28" i="27" s="1"/>
  <c r="M27" i="27"/>
  <c r="N27" i="27" s="1"/>
  <c r="M26" i="27"/>
  <c r="N26" i="27" s="1"/>
  <c r="M25" i="27"/>
  <c r="N25" i="27" s="1"/>
  <c r="M24" i="27"/>
  <c r="N24" i="27" s="1"/>
  <c r="M23" i="27"/>
  <c r="N23" i="27" s="1"/>
  <c r="M22" i="27"/>
  <c r="N22" i="27" s="1"/>
  <c r="L21" i="27"/>
  <c r="L42" i="27" s="1"/>
  <c r="K21" i="27"/>
  <c r="K42" i="27" s="1"/>
  <c r="M20" i="27"/>
  <c r="N20" i="27" s="1"/>
  <c r="M19" i="27"/>
  <c r="N19" i="27" s="1"/>
  <c r="M18" i="27"/>
  <c r="N18" i="27" s="1"/>
  <c r="M17" i="27"/>
  <c r="N17" i="27" s="1"/>
  <c r="M16" i="27"/>
  <c r="N16" i="27" s="1"/>
  <c r="M15" i="27"/>
  <c r="N15" i="27" s="1"/>
  <c r="M14" i="27"/>
  <c r="N14" i="27" s="1"/>
  <c r="BC13" i="27"/>
  <c r="M13" i="27"/>
  <c r="N13" i="27" s="1"/>
  <c r="BM13" i="27"/>
  <c r="CP12" i="27"/>
  <c r="CO12" i="27"/>
  <c r="CN12" i="27"/>
  <c r="CH12" i="27"/>
  <c r="CD12" i="27"/>
  <c r="CB12" i="27"/>
  <c r="BV12" i="27"/>
  <c r="BR12" i="27"/>
  <c r="BP12" i="27"/>
  <c r="BK12" i="27"/>
  <c r="BI12" i="27"/>
  <c r="BE12" i="27"/>
  <c r="BC12" i="27"/>
  <c r="AY12" i="27"/>
  <c r="AW12" i="27"/>
  <c r="AS12" i="27"/>
  <c r="AQ12" i="27"/>
  <c r="M12" i="27"/>
  <c r="N12" i="27" s="1"/>
  <c r="CP11" i="27"/>
  <c r="CO11" i="27"/>
  <c r="CN11" i="27"/>
  <c r="CH11" i="27"/>
  <c r="CD11" i="27"/>
  <c r="CB11" i="27"/>
  <c r="BV11" i="27"/>
  <c r="BR11" i="27"/>
  <c r="BP11" i="27"/>
  <c r="BK11" i="27"/>
  <c r="BI11" i="27"/>
  <c r="BE11" i="27"/>
  <c r="BC11" i="27"/>
  <c r="AY11" i="27"/>
  <c r="AW11" i="27"/>
  <c r="AS11" i="27"/>
  <c r="AQ11" i="27"/>
  <c r="M11" i="27"/>
  <c r="CQ12" i="27" s="1"/>
  <c r="CI12" i="27"/>
  <c r="CC12" i="27"/>
  <c r="BX12" i="27"/>
  <c r="BW12" i="27"/>
  <c r="BQ12" i="27"/>
  <c r="BJ12" i="27"/>
  <c r="BD12" i="27"/>
  <c r="AZ12" i="27"/>
  <c r="AU12" i="27"/>
  <c r="BC10" i="27"/>
  <c r="M10" i="27"/>
  <c r="CQ11" i="27" s="1"/>
  <c r="CJ11" i="27"/>
  <c r="CI11" i="27"/>
  <c r="CC11" i="27"/>
  <c r="BX11" i="27"/>
  <c r="BQ11" i="27"/>
  <c r="BM10" i="27"/>
  <c r="AX11" i="27"/>
  <c r="AT11" i="27"/>
  <c r="AR11" i="27"/>
  <c r="CP9" i="27"/>
  <c r="CO9" i="27"/>
  <c r="CN9" i="27"/>
  <c r="CH9" i="27"/>
  <c r="CD9" i="27"/>
  <c r="CB9" i="27"/>
  <c r="BV9" i="27"/>
  <c r="BR9" i="27"/>
  <c r="BP9" i="27"/>
  <c r="BK9" i="27"/>
  <c r="BI9" i="27"/>
  <c r="BE9" i="27"/>
  <c r="BC9" i="27"/>
  <c r="AY9" i="27"/>
  <c r="AW9" i="27"/>
  <c r="AS9" i="27"/>
  <c r="AQ9" i="27"/>
  <c r="M9" i="27"/>
  <c r="N9" i="27" s="1"/>
  <c r="CI9" i="27"/>
  <c r="CC9" i="27"/>
  <c r="BW9" i="27"/>
  <c r="BQ9" i="27"/>
  <c r="BL9" i="27"/>
  <c r="BF9" i="27"/>
  <c r="AX9" i="27"/>
  <c r="CP8" i="27"/>
  <c r="CO8" i="27"/>
  <c r="CN8" i="27"/>
  <c r="CH8" i="27"/>
  <c r="CD8" i="27"/>
  <c r="CB8" i="27"/>
  <c r="BV8" i="27"/>
  <c r="BR8" i="27"/>
  <c r="BP8" i="27"/>
  <c r="BK8" i="27"/>
  <c r="BI8" i="27"/>
  <c r="BE8" i="27"/>
  <c r="BC8" i="27"/>
  <c r="AY8" i="27"/>
  <c r="AW8" i="27"/>
  <c r="AS8" i="27"/>
  <c r="AQ8" i="27"/>
  <c r="M8" i="27"/>
  <c r="N8" i="27" s="1"/>
  <c r="CJ8" i="27"/>
  <c r="CI8" i="27"/>
  <c r="BX8" i="27"/>
  <c r="BW8" i="27"/>
  <c r="BQ8" i="27"/>
  <c r="BD8" i="27"/>
  <c r="AZ8" i="27"/>
  <c r="AR8" i="27"/>
  <c r="CP7" i="27"/>
  <c r="CO7" i="27"/>
  <c r="CN7" i="27"/>
  <c r="CH7" i="27"/>
  <c r="CD7" i="27"/>
  <c r="CB7" i="27"/>
  <c r="BV7" i="27"/>
  <c r="BR7" i="27"/>
  <c r="BP7" i="27"/>
  <c r="BK7" i="27"/>
  <c r="BI7" i="27"/>
  <c r="BE7" i="27"/>
  <c r="BC7" i="27"/>
  <c r="AY7" i="27"/>
  <c r="AW7" i="27"/>
  <c r="AS7" i="27"/>
  <c r="AQ7" i="27"/>
  <c r="M7" i="27"/>
  <c r="N7" i="27" s="1"/>
  <c r="CI7" i="27"/>
  <c r="CC7" i="27"/>
  <c r="BW7" i="27"/>
  <c r="BL7" i="27"/>
  <c r="BF7" i="27"/>
  <c r="AX7" i="27"/>
  <c r="CP6" i="27"/>
  <c r="CO6" i="27"/>
  <c r="CN6" i="27"/>
  <c r="CH6" i="27"/>
  <c r="CD6" i="27"/>
  <c r="CB6" i="27"/>
  <c r="BV6" i="27"/>
  <c r="BR6" i="27"/>
  <c r="BP6" i="27"/>
  <c r="BK6" i="27"/>
  <c r="BI6" i="27"/>
  <c r="BE6" i="27"/>
  <c r="BC6" i="27"/>
  <c r="AY6" i="27"/>
  <c r="AX6" i="27"/>
  <c r="AW6" i="27"/>
  <c r="AS6" i="27"/>
  <c r="AQ6" i="27"/>
  <c r="M6" i="27"/>
  <c r="N6" i="27" s="1"/>
  <c r="CJ6" i="27"/>
  <c r="CI6" i="27"/>
  <c r="BX6" i="27"/>
  <c r="BW6" i="27"/>
  <c r="BQ6" i="27"/>
  <c r="BD6" i="27"/>
  <c r="AZ6" i="27"/>
  <c r="AR6" i="27"/>
  <c r="CP5" i="27"/>
  <c r="CO5" i="27"/>
  <c r="CN5" i="27"/>
  <c r="CH5" i="27"/>
  <c r="CD5" i="27"/>
  <c r="CB5" i="27"/>
  <c r="BV5" i="27"/>
  <c r="BR5" i="27"/>
  <c r="BP5" i="27"/>
  <c r="BK5" i="27"/>
  <c r="BI5" i="27"/>
  <c r="BE5" i="27"/>
  <c r="BC5" i="27"/>
  <c r="AY5" i="27"/>
  <c r="AW5" i="27"/>
  <c r="AS5" i="27"/>
  <c r="AR5" i="27"/>
  <c r="AQ5" i="27"/>
  <c r="M5" i="27"/>
  <c r="CQ5" i="27" s="1"/>
  <c r="CJ5" i="27"/>
  <c r="CI5" i="27"/>
  <c r="CC5" i="27"/>
  <c r="BX5" i="27"/>
  <c r="BW5" i="27"/>
  <c r="BJ5" i="27"/>
  <c r="BD5" i="27"/>
  <c r="CP4" i="27"/>
  <c r="CO4" i="27"/>
  <c r="CN4" i="27"/>
  <c r="CH4" i="27"/>
  <c r="CD4" i="27"/>
  <c r="CB4" i="27"/>
  <c r="BV4" i="27"/>
  <c r="BR4" i="27"/>
  <c r="BP4" i="27"/>
  <c r="BK4" i="27"/>
  <c r="BI4" i="27"/>
  <c r="BE4" i="27"/>
  <c r="BC4" i="27"/>
  <c r="AY4" i="27"/>
  <c r="AW4" i="27"/>
  <c r="AS4" i="27"/>
  <c r="AQ4" i="27"/>
  <c r="M4" i="27"/>
  <c r="CQ4" i="27" s="1"/>
  <c r="CC4" i="27"/>
  <c r="BX4" i="27"/>
  <c r="BW4" i="27"/>
  <c r="BJ4" i="27"/>
  <c r="AX4" i="27"/>
  <c r="F12" i="25" l="1"/>
  <c r="G12" i="25" s="1"/>
  <c r="H12" i="25" s="1"/>
  <c r="J12" i="25" s="1"/>
  <c r="CI32" i="27"/>
  <c r="CI35" i="27"/>
  <c r="BE32" i="27"/>
  <c r="BJ7" i="27"/>
  <c r="BZ30" i="27"/>
  <c r="AS32" i="27"/>
  <c r="AX8" i="27"/>
  <c r="CC8" i="27"/>
  <c r="CK9" i="27"/>
  <c r="CO13" i="27"/>
  <c r="BD31" i="27"/>
  <c r="BD32" i="27" s="1"/>
  <c r="CL7" i="27"/>
  <c r="BQ7" i="27"/>
  <c r="CP13" i="27"/>
  <c r="BK13" i="27"/>
  <c r="BJ6" i="27"/>
  <c r="N11" i="27"/>
  <c r="CR12" i="27" s="1"/>
  <c r="N33" i="27"/>
  <c r="CR33" i="27" s="1"/>
  <c r="BR10" i="27"/>
  <c r="AS13" i="27"/>
  <c r="CO32" i="27"/>
  <c r="K38" i="27"/>
  <c r="K45" i="27" s="1"/>
  <c r="BJ8" i="27"/>
  <c r="CP32" i="27"/>
  <c r="CK31" i="27"/>
  <c r="CF5" i="27"/>
  <c r="BS12" i="27"/>
  <c r="AY13" i="27"/>
  <c r="BR32" i="27"/>
  <c r="AS10" i="27"/>
  <c r="AY10" i="27"/>
  <c r="CK5" i="27"/>
  <c r="BE10" i="27"/>
  <c r="BR13" i="27"/>
  <c r="AQ13" i="27"/>
  <c r="CO10" i="27"/>
  <c r="CK11" i="27"/>
  <c r="BD11" i="27"/>
  <c r="BD13" i="27" s="1"/>
  <c r="Q18" i="27"/>
  <c r="R18" i="27" s="1"/>
  <c r="AS35" i="27"/>
  <c r="CC34" i="27"/>
  <c r="CC35" i="27" s="1"/>
  <c r="BK10" i="27"/>
  <c r="AN3" i="22"/>
  <c r="BZ9" i="27"/>
  <c r="BJ9" i="27"/>
  <c r="CD32" i="27"/>
  <c r="CC6" i="27"/>
  <c r="BZ7" i="27"/>
  <c r="BJ11" i="27"/>
  <c r="BJ13" i="27" s="1"/>
  <c r="BT30" i="27"/>
  <c r="BA9" i="27"/>
  <c r="BA12" i="27"/>
  <c r="AX35" i="27"/>
  <c r="CD35" i="27"/>
  <c r="CF4" i="27"/>
  <c r="BQ13" i="27"/>
  <c r="BX13" i="27"/>
  <c r="BM12" i="27"/>
  <c r="BL33" i="27"/>
  <c r="BT9" i="27"/>
  <c r="AZ31" i="27"/>
  <c r="CF34" i="27"/>
  <c r="CE34" i="27"/>
  <c r="BL31" i="27"/>
  <c r="CL33" i="27"/>
  <c r="CK33" i="27"/>
  <c r="BL6" i="27"/>
  <c r="AU5" i="27"/>
  <c r="AT5" i="27"/>
  <c r="BT7" i="27"/>
  <c r="BS7" i="27"/>
  <c r="BX7" i="27"/>
  <c r="N4" i="27"/>
  <c r="CR4" i="27" s="1"/>
  <c r="N5" i="27"/>
  <c r="CR5" i="27" s="1"/>
  <c r="BQ5" i="27"/>
  <c r="CK6" i="27"/>
  <c r="Q25" i="27"/>
  <c r="R25" i="27" s="1"/>
  <c r="CC31" i="27"/>
  <c r="BM32" i="27"/>
  <c r="BD33" i="27"/>
  <c r="BD35" i="27" s="1"/>
  <c r="BM34" i="27"/>
  <c r="BD9" i="27"/>
  <c r="BD7" i="27"/>
  <c r="CJ9" i="27"/>
  <c r="N30" i="27"/>
  <c r="CR30" i="27" s="1"/>
  <c r="BE35" i="27"/>
  <c r="CJ33" i="27"/>
  <c r="BA7" i="27"/>
  <c r="CJ31" i="27"/>
  <c r="BA33" i="27"/>
  <c r="BK35" i="27"/>
  <c r="M21" i="27"/>
  <c r="M42" i="27" s="1"/>
  <c r="BY5" i="27"/>
  <c r="AX30" i="27"/>
  <c r="AX32" i="27" s="1"/>
  <c r="BJ31" i="27"/>
  <c r="BJ32" i="27" s="1"/>
  <c r="BJ35" i="27"/>
  <c r="BQ33" i="27"/>
  <c r="CO35" i="27"/>
  <c r="CD10" i="27"/>
  <c r="CJ7" i="27"/>
  <c r="AY32" i="27"/>
  <c r="BW30" i="27"/>
  <c r="BW32" i="27" s="1"/>
  <c r="BR35" i="27"/>
  <c r="CP10" i="27"/>
  <c r="M29" i="27"/>
  <c r="M43" i="27" s="1"/>
  <c r="N31" i="27"/>
  <c r="CR31" i="27" s="1"/>
  <c r="AT8" i="27"/>
  <c r="CK8" i="27"/>
  <c r="BX9" i="27"/>
  <c r="BE13" i="27"/>
  <c r="BA34" i="27"/>
  <c r="BQ34" i="27"/>
  <c r="CP35" i="27"/>
  <c r="CI13" i="27"/>
  <c r="AZ11" i="27"/>
  <c r="BL8" i="27"/>
  <c r="CQ8" i="27"/>
  <c r="BY33" i="27"/>
  <c r="AY35" i="27"/>
  <c r="E38" i="27"/>
  <c r="BW10" i="27"/>
  <c r="AU7" i="27"/>
  <c r="AT7" i="27"/>
  <c r="BY11" i="27"/>
  <c r="BZ11" i="27"/>
  <c r="BT5" i="27"/>
  <c r="BS5" i="27"/>
  <c r="CR6" i="27"/>
  <c r="BM8" i="27"/>
  <c r="CR9" i="27"/>
  <c r="BM6" i="27"/>
  <c r="CF8" i="27"/>
  <c r="CE8" i="27"/>
  <c r="CF6" i="27"/>
  <c r="CE6" i="27"/>
  <c r="BG11" i="27"/>
  <c r="BF11" i="27"/>
  <c r="CR7" i="27"/>
  <c r="BA5" i="27"/>
  <c r="AZ5" i="27"/>
  <c r="CR8" i="27"/>
  <c r="AU9" i="27"/>
  <c r="AT9" i="27"/>
  <c r="AU33" i="27"/>
  <c r="AT33" i="27"/>
  <c r="BG7" i="27"/>
  <c r="BG9" i="27"/>
  <c r="AU11" i="27"/>
  <c r="AR7" i="27"/>
  <c r="AR9" i="27"/>
  <c r="AU30" i="27"/>
  <c r="AT30" i="27"/>
  <c r="CC30" i="27"/>
  <c r="BS34" i="27"/>
  <c r="BT34" i="27"/>
  <c r="CQ6" i="27"/>
  <c r="BW11" i="27"/>
  <c r="BW13" i="27" s="1"/>
  <c r="BA30" i="27"/>
  <c r="AZ30" i="27"/>
  <c r="BF33" i="27"/>
  <c r="BG33" i="27"/>
  <c r="BA6" i="27"/>
  <c r="BA8" i="27"/>
  <c r="N10" i="27"/>
  <c r="AR12" i="27"/>
  <c r="AR13" i="27" s="1"/>
  <c r="BK32" i="27"/>
  <c r="BQ31" i="27"/>
  <c r="BQ32" i="27" s="1"/>
  <c r="BM35" i="27"/>
  <c r="BQ4" i="27"/>
  <c r="AT12" i="27"/>
  <c r="BT33" i="27"/>
  <c r="BS33" i="27"/>
  <c r="BD4" i="27"/>
  <c r="CC13" i="27"/>
  <c r="CJ12" i="27"/>
  <c r="CJ13" i="27" s="1"/>
  <c r="BL11" i="27"/>
  <c r="CD13" i="27"/>
  <c r="BW35" i="27"/>
  <c r="AR34" i="27"/>
  <c r="AX5" i="27"/>
  <c r="AX10" i="27" s="1"/>
  <c r="AX12" i="27"/>
  <c r="AX13" i="27" s="1"/>
  <c r="F38" i="27"/>
  <c r="AT31" i="27"/>
  <c r="AU31" i="27"/>
  <c r="CF31" i="27"/>
  <c r="CE31" i="27"/>
  <c r="BX35" i="27"/>
  <c r="AR4" i="27"/>
  <c r="CI4" i="27"/>
  <c r="CI10" i="27" s="1"/>
  <c r="AZ7" i="27"/>
  <c r="CQ7" i="27"/>
  <c r="AZ9" i="27"/>
  <c r="CQ9" i="27"/>
  <c r="CJ34" i="27"/>
  <c r="CJ4" i="27"/>
  <c r="CR34" i="27"/>
  <c r="AR30" i="27"/>
  <c r="AR32" i="27" s="1"/>
  <c r="L38" i="27"/>
  <c r="L45" i="27" s="1"/>
  <c r="CJ30" i="27"/>
  <c r="BM31" i="27"/>
  <c r="AR33" i="27"/>
  <c r="AR35" i="27" s="1"/>
  <c r="AT35" i="27" s="1"/>
  <c r="AU35" i="27" s="1"/>
  <c r="BX30" i="27"/>
  <c r="BX32" i="27" s="1"/>
  <c r="CQ34" i="27"/>
  <c r="BG31" i="27"/>
  <c r="M37" i="27"/>
  <c r="M44" i="27" s="1"/>
  <c r="BF32" i="27" l="1"/>
  <c r="BG32" i="27" s="1"/>
  <c r="AZ13" i="27"/>
  <c r="BA13" i="27" s="1"/>
  <c r="BI13" i="27"/>
  <c r="BL13" i="27" s="1"/>
  <c r="AZ35" i="27"/>
  <c r="BA35" i="27" s="1"/>
  <c r="Q15" i="27"/>
  <c r="R15" i="27" s="1"/>
  <c r="BY13" i="27"/>
  <c r="BZ13" i="27" s="1"/>
  <c r="CL9" i="27"/>
  <c r="CL8" i="27"/>
  <c r="CL31" i="27"/>
  <c r="AT32" i="27"/>
  <c r="AU32" i="27" s="1"/>
  <c r="CL11" i="27"/>
  <c r="CJ10" i="27"/>
  <c r="CK10" i="27" s="1"/>
  <c r="CL10" i="27" s="1"/>
  <c r="Q36" i="27"/>
  <c r="R36" i="27" s="1"/>
  <c r="AZ32" i="27"/>
  <c r="BA32" i="27" s="1"/>
  <c r="Q14" i="27"/>
  <c r="R14" i="27" s="1"/>
  <c r="CJ35" i="27"/>
  <c r="CK35" i="27" s="1"/>
  <c r="CL35" i="27" s="1"/>
  <c r="BY30" i="27"/>
  <c r="BP13" i="27"/>
  <c r="Q35" i="27"/>
  <c r="R35" i="27" s="1"/>
  <c r="CC10" i="27"/>
  <c r="CE10" i="27" s="1"/>
  <c r="CF10" i="27" s="1"/>
  <c r="BX10" i="27"/>
  <c r="BY10" i="27" s="1"/>
  <c r="BZ10" i="27" s="1"/>
  <c r="BL34" i="27"/>
  <c r="BN32" i="27"/>
  <c r="BY9" i="27"/>
  <c r="BT12" i="27"/>
  <c r="CK13" i="27"/>
  <c r="CL13" i="27" s="1"/>
  <c r="CK7" i="27"/>
  <c r="BS13" i="27"/>
  <c r="Q20" i="27"/>
  <c r="R20" i="27" s="1"/>
  <c r="Q26" i="27"/>
  <c r="R26" i="27" s="1"/>
  <c r="AZ10" i="27"/>
  <c r="BA10" i="27" s="1"/>
  <c r="CL6" i="27"/>
  <c r="Q17" i="27"/>
  <c r="R17" i="27" s="1"/>
  <c r="Q23" i="27"/>
  <c r="R23" i="27" s="1"/>
  <c r="BS32" i="27"/>
  <c r="BT32" i="27" s="1"/>
  <c r="BZ5" i="27"/>
  <c r="BI35" i="27"/>
  <c r="BL35" i="27" s="1"/>
  <c r="CQ13" i="27"/>
  <c r="CR13" i="27" s="1"/>
  <c r="Q24" i="27"/>
  <c r="R24" i="27" s="1"/>
  <c r="Q13" i="27"/>
  <c r="R13" i="27" s="1"/>
  <c r="CE5" i="27"/>
  <c r="BS30" i="27"/>
  <c r="BJ10" i="27"/>
  <c r="BI10" i="27" s="1"/>
  <c r="BL10" i="27" s="1"/>
  <c r="CC32" i="27"/>
  <c r="CE32" i="27" s="1"/>
  <c r="CF32" i="27" s="1"/>
  <c r="CQ32" i="27"/>
  <c r="CR32" i="27" s="1"/>
  <c r="BF13" i="27"/>
  <c r="BG13" i="27" s="1"/>
  <c r="BN13" i="27" s="1"/>
  <c r="BY32" i="27"/>
  <c r="BZ32" i="27" s="1"/>
  <c r="CQ35" i="27"/>
  <c r="CR35" i="27" s="1"/>
  <c r="CQ10" i="27"/>
  <c r="CR10" i="27" s="1"/>
  <c r="CJ32" i="27"/>
  <c r="CK32" i="27" s="1"/>
  <c r="CL32" i="27" s="1"/>
  <c r="Q32" i="27"/>
  <c r="R32" i="27" s="1"/>
  <c r="Q19" i="27"/>
  <c r="R19" i="27" s="1"/>
  <c r="BQ35" i="27"/>
  <c r="BS35" i="27" s="1"/>
  <c r="BT35" i="27" s="1"/>
  <c r="AT13" i="27"/>
  <c r="AU13" i="27" s="1"/>
  <c r="Q16" i="27"/>
  <c r="R16" i="27" s="1"/>
  <c r="BL12" i="27"/>
  <c r="BM33" i="27"/>
  <c r="CE4" i="27"/>
  <c r="CE35" i="27"/>
  <c r="CF35" i="27" s="1"/>
  <c r="BZ33" i="27"/>
  <c r="BY7" i="27"/>
  <c r="Q27" i="27"/>
  <c r="R27" i="27" s="1"/>
  <c r="CK30" i="27"/>
  <c r="AZ33" i="27"/>
  <c r="AU8" i="27"/>
  <c r="Q28" i="27"/>
  <c r="R28" i="27" s="1"/>
  <c r="CE13" i="27"/>
  <c r="CF13" i="27" s="1"/>
  <c r="AZ34" i="27"/>
  <c r="BA31" i="27"/>
  <c r="Q12" i="27"/>
  <c r="R12" i="27" s="1"/>
  <c r="BS9" i="27"/>
  <c r="BD10" i="27"/>
  <c r="BF10" i="27" s="1"/>
  <c r="BG10" i="27" s="1"/>
  <c r="BN10" i="27" s="1"/>
  <c r="BQ10" i="27"/>
  <c r="BS10" i="27" s="1"/>
  <c r="BT10" i="27" s="1"/>
  <c r="BI32" i="27"/>
  <c r="BL32" i="27" s="1"/>
  <c r="BN31" i="27"/>
  <c r="BM30" i="27"/>
  <c r="BL30" i="27"/>
  <c r="BF35" i="27"/>
  <c r="BG35" i="27" s="1"/>
  <c r="BN35" i="27" s="1"/>
  <c r="CE33" i="27"/>
  <c r="CF33" i="27"/>
  <c r="AR10" i="27"/>
  <c r="AT10" i="27" s="1"/>
  <c r="AU10" i="27" s="1"/>
  <c r="BA11" i="27"/>
  <c r="Q22" i="27"/>
  <c r="R22" i="27" s="1"/>
  <c r="G38" i="27"/>
  <c r="BF6" i="27"/>
  <c r="CE12" i="27"/>
  <c r="CF12" i="27"/>
  <c r="CE30" i="27"/>
  <c r="CF30" i="27"/>
  <c r="CE7" i="27"/>
  <c r="BS11" i="27"/>
  <c r="BT11" i="27"/>
  <c r="CK4" i="27"/>
  <c r="BF4" i="27"/>
  <c r="BG4" i="27"/>
  <c r="BF34" i="27"/>
  <c r="BL4" i="27"/>
  <c r="BY35" i="27"/>
  <c r="BZ35" i="27" s="1"/>
  <c r="BZ4" i="27"/>
  <c r="BY4" i="27"/>
  <c r="CR11" i="27"/>
  <c r="BT4" i="27"/>
  <c r="BS4" i="27"/>
  <c r="BZ34" i="27"/>
  <c r="BY34" i="27"/>
  <c r="BY12" i="27"/>
  <c r="BZ12" i="27"/>
  <c r="CK34" i="27"/>
  <c r="AT4" i="27"/>
  <c r="AU4" i="27"/>
  <c r="CL5" i="27"/>
  <c r="BS8" i="27"/>
  <c r="BT8" i="27"/>
  <c r="CF11" i="27"/>
  <c r="CE11" i="27"/>
  <c r="CL30" i="27"/>
  <c r="BL5" i="27"/>
  <c r="BM7" i="27"/>
  <c r="BN7" i="27"/>
  <c r="BF30" i="27"/>
  <c r="BZ31" i="27"/>
  <c r="BY31" i="27"/>
  <c r="BY8" i="27"/>
  <c r="BZ8" i="27"/>
  <c r="BF12" i="27"/>
  <c r="BS6" i="27"/>
  <c r="BT6" i="27"/>
  <c r="M38" i="27"/>
  <c r="M45" i="27" s="1"/>
  <c r="BF8" i="27"/>
  <c r="BZ6" i="27"/>
  <c r="BY6" i="27"/>
  <c r="BA4" i="27"/>
  <c r="AZ4" i="27"/>
  <c r="AT6" i="27"/>
  <c r="AU6" i="27"/>
  <c r="BM9" i="27"/>
  <c r="BN9" i="27"/>
  <c r="CE9" i="27"/>
  <c r="CF9" i="27"/>
  <c r="BM11" i="27"/>
  <c r="AT34" i="27"/>
  <c r="AU34" i="27"/>
  <c r="CK12" i="27"/>
  <c r="BS31" i="27"/>
  <c r="BT31" i="27"/>
  <c r="BF5" i="27"/>
  <c r="BG5" i="27"/>
  <c r="BT13" i="27" l="1"/>
  <c r="CS13" i="27" s="1"/>
  <c r="CS32" i="27"/>
  <c r="CS35" i="27"/>
  <c r="BN33" i="27"/>
  <c r="CS33" i="27" s="1"/>
  <c r="Q31" i="27"/>
  <c r="R31" i="27" s="1"/>
  <c r="CS10" i="27"/>
  <c r="CS31" i="27"/>
  <c r="BG34" i="27"/>
  <c r="BN34" i="27"/>
  <c r="CL34" i="27"/>
  <c r="CS34" i="27" s="1"/>
  <c r="Q10" i="27"/>
  <c r="R10" i="27" s="1"/>
  <c r="Q9" i="27"/>
  <c r="R9" i="27" s="1"/>
  <c r="BN12" i="27"/>
  <c r="BN11" i="27"/>
  <c r="BM5" i="27"/>
  <c r="Q33" i="27"/>
  <c r="R33" i="27" s="1"/>
  <c r="CL4" i="27"/>
  <c r="BG6" i="27"/>
  <c r="BG8" i="27"/>
  <c r="BN8" i="27"/>
  <c r="CL12" i="27"/>
  <c r="BN30" i="27"/>
  <c r="CS30" i="27" s="1"/>
  <c r="BG30" i="27"/>
  <c r="BG12" i="27"/>
  <c r="Q11" i="27"/>
  <c r="R11" i="27" s="1"/>
  <c r="CF7" i="27"/>
  <c r="Q7" i="27"/>
  <c r="R7" i="27" s="1"/>
  <c r="BM4" i="27"/>
  <c r="BN4" i="27"/>
  <c r="Q4" i="27" l="1"/>
  <c r="R4" i="27" s="1"/>
  <c r="Q34" i="27"/>
  <c r="R34" i="27" s="1"/>
  <c r="Q8" i="27"/>
  <c r="R8" i="27" s="1"/>
  <c r="BN5" i="27"/>
  <c r="Q5" i="27"/>
  <c r="R5" i="27" s="1"/>
  <c r="Q30" i="27"/>
  <c r="R30" i="27" s="1"/>
  <c r="BN6" i="27"/>
  <c r="Q6" i="27"/>
  <c r="R6" i="27" s="1"/>
  <c r="J5" i="17" l="1"/>
  <c r="J6" i="17"/>
  <c r="J7" i="17"/>
  <c r="J8" i="17"/>
  <c r="J9" i="17"/>
  <c r="J10" i="17"/>
  <c r="J11" i="17"/>
  <c r="J12" i="17"/>
  <c r="J13" i="17"/>
  <c r="J14" i="17"/>
  <c r="J15" i="17"/>
  <c r="J16" i="17"/>
  <c r="J17" i="17"/>
  <c r="J18" i="17"/>
  <c r="J19" i="17"/>
  <c r="J20" i="17"/>
  <c r="J22" i="17"/>
  <c r="J23" i="17"/>
  <c r="J24" i="17"/>
  <c r="J25" i="17"/>
  <c r="J27" i="17"/>
  <c r="J28" i="17"/>
  <c r="J30" i="17"/>
  <c r="J31" i="17"/>
  <c r="J32" i="17"/>
  <c r="J33" i="17"/>
  <c r="J34" i="17"/>
  <c r="J35" i="17"/>
  <c r="J36" i="17"/>
  <c r="J4" i="17"/>
  <c r="H16" i="17"/>
  <c r="H20" i="17"/>
  <c r="H22" i="17"/>
  <c r="H24" i="17"/>
  <c r="H26" i="17"/>
  <c r="H31" i="17"/>
  <c r="F40" i="13"/>
  <c r="E40" i="13"/>
  <c r="F32" i="13"/>
  <c r="E32" i="13"/>
  <c r="F24" i="13"/>
  <c r="E24" i="13"/>
  <c r="E37" i="26" l="1"/>
  <c r="F37" i="26" s="1"/>
  <c r="G37" i="26" s="1"/>
  <c r="H37" i="26" s="1"/>
  <c r="E36" i="26"/>
  <c r="F36" i="26" s="1"/>
  <c r="G36" i="26" s="1"/>
  <c r="H36" i="26" s="1"/>
  <c r="E35" i="26"/>
  <c r="F35" i="26" s="1"/>
  <c r="G35" i="26" s="1"/>
  <c r="H35" i="26" s="1"/>
  <c r="E34" i="26"/>
  <c r="F34" i="26" s="1"/>
  <c r="G34" i="26" s="1"/>
  <c r="H34" i="26" s="1"/>
  <c r="E33" i="26"/>
  <c r="F33" i="26" s="1"/>
  <c r="G33" i="26" s="1"/>
  <c r="H33" i="26" s="1"/>
  <c r="H32" i="26"/>
  <c r="E32" i="26"/>
  <c r="F32" i="26" s="1"/>
  <c r="G32" i="26" s="1"/>
  <c r="E31" i="26"/>
  <c r="F31" i="26" s="1"/>
  <c r="G31" i="26" s="1"/>
  <c r="H31" i="26" s="1"/>
  <c r="E29" i="26"/>
  <c r="F29" i="26" s="1"/>
  <c r="G29" i="26" s="1"/>
  <c r="H29" i="26" s="1"/>
  <c r="E28" i="26"/>
  <c r="F28" i="26" s="1"/>
  <c r="G28" i="26" s="1"/>
  <c r="H28" i="26" s="1"/>
  <c r="H27" i="26"/>
  <c r="E27" i="26"/>
  <c r="F27" i="26" s="1"/>
  <c r="G27" i="26" s="1"/>
  <c r="E26" i="26"/>
  <c r="F26" i="26" s="1"/>
  <c r="G26" i="26" s="1"/>
  <c r="H26" i="26" s="1"/>
  <c r="H25" i="26"/>
  <c r="E25" i="26"/>
  <c r="F25" i="26" s="1"/>
  <c r="G25" i="26" s="1"/>
  <c r="E24" i="26"/>
  <c r="F24" i="26" s="1"/>
  <c r="G24" i="26" s="1"/>
  <c r="H24" i="26" s="1"/>
  <c r="H23" i="26"/>
  <c r="E23" i="26"/>
  <c r="F23" i="26" s="1"/>
  <c r="G23" i="26" s="1"/>
  <c r="H21" i="26"/>
  <c r="E21" i="26"/>
  <c r="F21" i="26" s="1"/>
  <c r="G21" i="26" s="1"/>
  <c r="E20" i="26"/>
  <c r="F20" i="26" s="1"/>
  <c r="G20" i="26" s="1"/>
  <c r="H20" i="26" s="1"/>
  <c r="E19" i="26"/>
  <c r="F19" i="26" s="1"/>
  <c r="G19" i="26" s="1"/>
  <c r="H19" i="26" s="1"/>
  <c r="E18" i="26"/>
  <c r="F18" i="26" s="1"/>
  <c r="G18" i="26" s="1"/>
  <c r="H18" i="26" s="1"/>
  <c r="H17" i="26"/>
  <c r="E17" i="26"/>
  <c r="F17" i="26" s="1"/>
  <c r="G17" i="26" s="1"/>
  <c r="E16" i="26"/>
  <c r="F16" i="26" s="1"/>
  <c r="G16" i="26" s="1"/>
  <c r="H16" i="26" s="1"/>
  <c r="E15" i="26"/>
  <c r="F15" i="26" s="1"/>
  <c r="G15" i="26" s="1"/>
  <c r="H15" i="26" s="1"/>
  <c r="E14" i="26"/>
  <c r="F14" i="26" s="1"/>
  <c r="G14" i="26" s="1"/>
  <c r="H14" i="26" s="1"/>
  <c r="J14" i="26" s="1"/>
  <c r="E13" i="26"/>
  <c r="F13" i="26" s="1"/>
  <c r="G13" i="26" s="1"/>
  <c r="H13" i="26" s="1"/>
  <c r="E12" i="26"/>
  <c r="F12" i="26" s="1"/>
  <c r="G12" i="26" s="1"/>
  <c r="H12" i="26" s="1"/>
  <c r="E11" i="26"/>
  <c r="F11" i="26" s="1"/>
  <c r="G11" i="26" s="1"/>
  <c r="H11" i="26" s="1"/>
  <c r="E10" i="26"/>
  <c r="F10" i="26" s="1"/>
  <c r="G10" i="26" s="1"/>
  <c r="H10" i="26" s="1"/>
  <c r="E9" i="26"/>
  <c r="F9" i="26" s="1"/>
  <c r="G9" i="26" s="1"/>
  <c r="H9" i="26" s="1"/>
  <c r="E8" i="26"/>
  <c r="F8" i="26" s="1"/>
  <c r="G8" i="26" s="1"/>
  <c r="H8" i="26" s="1"/>
  <c r="E7" i="26"/>
  <c r="F7" i="26" s="1"/>
  <c r="G7" i="26" s="1"/>
  <c r="H7" i="26" s="1"/>
  <c r="E6" i="26"/>
  <c r="F6" i="26" s="1"/>
  <c r="G6" i="26" s="1"/>
  <c r="H6" i="26" s="1"/>
  <c r="E5" i="26"/>
  <c r="F5" i="26" s="1"/>
  <c r="G5" i="26" s="1"/>
  <c r="H5" i="26" s="1"/>
  <c r="J6" i="26" l="1"/>
  <c r="J34" i="26"/>
  <c r="J19" i="26"/>
  <c r="H9" i="17"/>
  <c r="J10" i="26"/>
  <c r="J26" i="26"/>
  <c r="H25" i="17" s="1"/>
  <c r="J33" i="26"/>
  <c r="J8" i="26"/>
  <c r="J9" i="26"/>
  <c r="J11" i="26"/>
  <c r="H19" i="17"/>
  <c r="J20" i="26"/>
  <c r="J12" i="26"/>
  <c r="J13" i="26"/>
  <c r="J15" i="26"/>
  <c r="J29" i="26"/>
  <c r="H35" i="17"/>
  <c r="J36" i="26"/>
  <c r="J28" i="26"/>
  <c r="J16" i="26"/>
  <c r="J37" i="26"/>
  <c r="J5" i="26"/>
  <c r="H34" i="17"/>
  <c r="J35" i="26"/>
  <c r="J24" i="26"/>
  <c r="J7" i="26"/>
  <c r="J18" i="26"/>
  <c r="J31" i="26"/>
  <c r="H6" i="17" l="1"/>
  <c r="H15" i="17"/>
  <c r="H12" i="17"/>
  <c r="H32" i="17"/>
  <c r="H23" i="17"/>
  <c r="H27" i="17"/>
  <c r="H11" i="17"/>
  <c r="H28" i="17"/>
  <c r="H10" i="17"/>
  <c r="H18" i="17"/>
  <c r="H30" i="17"/>
  <c r="H4" i="17"/>
  <c r="H14" i="17"/>
  <c r="H8" i="17"/>
  <c r="H33" i="17"/>
  <c r="H17" i="17"/>
  <c r="H36" i="17"/>
  <c r="H13" i="17"/>
  <c r="H7" i="17"/>
  <c r="H5" i="17"/>
  <c r="D44" i="25"/>
  <c r="E44" i="25" s="1"/>
  <c r="H43" i="25"/>
  <c r="J43" i="25" s="1"/>
  <c r="D43" i="25"/>
  <c r="E43" i="25" s="1"/>
  <c r="D42" i="25"/>
  <c r="E42" i="25" s="1"/>
  <c r="D41" i="25"/>
  <c r="E41" i="25" s="1"/>
  <c r="G41" i="25" s="1"/>
  <c r="H41" i="25" s="1"/>
  <c r="J41" i="25" s="1"/>
  <c r="D40" i="25"/>
  <c r="E40" i="25" s="1"/>
  <c r="D39" i="25"/>
  <c r="E39" i="25" s="1"/>
  <c r="D38" i="25"/>
  <c r="E38" i="25" s="1"/>
  <c r="D36" i="25"/>
  <c r="E36" i="25" s="1"/>
  <c r="D35" i="25"/>
  <c r="E35" i="25" s="1"/>
  <c r="E34" i="25"/>
  <c r="G34" i="25" s="1"/>
  <c r="H34" i="25" s="1"/>
  <c r="J34" i="25" s="1"/>
  <c r="D33" i="25"/>
  <c r="E33" i="25" s="1"/>
  <c r="D32" i="25"/>
  <c r="E32" i="25" s="1"/>
  <c r="G32" i="25" s="1"/>
  <c r="H32" i="25" s="1"/>
  <c r="J32" i="25" s="1"/>
  <c r="D31" i="25"/>
  <c r="D30" i="25"/>
  <c r="E30" i="25" s="1"/>
  <c r="G30" i="25" s="1"/>
  <c r="H30" i="25" s="1"/>
  <c r="J30" i="25" s="1"/>
  <c r="D28" i="25"/>
  <c r="E28" i="25" s="1"/>
  <c r="B28" i="25"/>
  <c r="D27" i="25"/>
  <c r="E27" i="25" s="1"/>
  <c r="D26" i="25"/>
  <c r="E26" i="25" s="1"/>
  <c r="D25" i="25"/>
  <c r="E25" i="25" s="1"/>
  <c r="D24" i="25"/>
  <c r="E24" i="25" s="1"/>
  <c r="D23" i="25"/>
  <c r="E23" i="25" s="1"/>
  <c r="D22" i="25"/>
  <c r="E22" i="25" s="1"/>
  <c r="D21" i="25"/>
  <c r="E21" i="25" s="1"/>
  <c r="D20" i="25"/>
  <c r="E20" i="25" s="1"/>
  <c r="H19" i="25"/>
  <c r="J19" i="25" s="1"/>
  <c r="D19" i="25"/>
  <c r="E19" i="25" s="1"/>
  <c r="D18" i="25"/>
  <c r="E18" i="25" s="1"/>
  <c r="D17" i="25"/>
  <c r="E17" i="25" s="1"/>
  <c r="D16" i="25"/>
  <c r="E16" i="25" s="1"/>
  <c r="D15" i="25"/>
  <c r="E15" i="25" s="1"/>
  <c r="D14" i="25"/>
  <c r="E14" i="25" s="1"/>
  <c r="D13" i="25"/>
  <c r="E13" i="25" s="1"/>
  <c r="I11" i="25"/>
  <c r="AN42" i="3"/>
  <c r="AO36" i="3"/>
  <c r="AO37" i="3"/>
  <c r="AO38" i="3"/>
  <c r="AO39" i="3"/>
  <c r="AO40" i="3"/>
  <c r="AO41" i="3"/>
  <c r="AO35" i="3"/>
  <c r="AO28" i="3"/>
  <c r="AO29" i="3"/>
  <c r="AO30" i="3"/>
  <c r="AO32" i="3"/>
  <c r="AO33" i="3"/>
  <c r="AO27" i="3"/>
  <c r="AO10" i="3"/>
  <c r="AO11" i="3"/>
  <c r="AO12" i="3"/>
  <c r="AO13" i="3"/>
  <c r="AO14" i="3"/>
  <c r="AO15" i="3"/>
  <c r="AO16" i="3"/>
  <c r="AO17" i="3"/>
  <c r="AO18" i="3"/>
  <c r="AO19" i="3"/>
  <c r="AO20" i="3"/>
  <c r="AO21" i="3"/>
  <c r="AO22" i="3"/>
  <c r="AO23" i="3"/>
  <c r="AO24" i="3"/>
  <c r="AO25" i="3"/>
  <c r="AO9" i="3"/>
  <c r="BH45" i="24"/>
  <c r="AV45" i="24"/>
  <c r="AP45" i="24"/>
  <c r="AJ45" i="24"/>
  <c r="AD45" i="24"/>
  <c r="W45" i="24"/>
  <c r="Q45" i="24"/>
  <c r="K45" i="24"/>
  <c r="E45" i="24"/>
  <c r="BJ37" i="24"/>
  <c r="BJ44" i="24" s="1"/>
  <c r="BI37" i="24"/>
  <c r="BI44" i="24" s="1"/>
  <c r="BD37" i="24"/>
  <c r="BE37" i="24" s="1"/>
  <c r="BC37" i="24"/>
  <c r="AR37" i="24"/>
  <c r="AR44" i="24" s="1"/>
  <c r="AF37" i="24"/>
  <c r="AF44" i="24" s="1"/>
  <c r="Y37" i="24"/>
  <c r="Y44" i="24" s="1"/>
  <c r="S37" i="24"/>
  <c r="S44" i="24" s="1"/>
  <c r="M37" i="24"/>
  <c r="M44" i="24" s="1"/>
  <c r="G37" i="24"/>
  <c r="G44" i="24" s="1"/>
  <c r="BK36" i="24"/>
  <c r="BL36" i="24" s="1"/>
  <c r="BE36" i="24"/>
  <c r="AX36" i="24"/>
  <c r="AY36" i="24" s="1"/>
  <c r="AZ36" i="24" s="1"/>
  <c r="AW36" i="24"/>
  <c r="AQ36" i="24"/>
  <c r="AS36" i="24" s="1"/>
  <c r="AT36" i="24" s="1"/>
  <c r="AL36" i="24"/>
  <c r="AK36" i="24"/>
  <c r="AE36" i="24"/>
  <c r="AG36" i="24" s="1"/>
  <c r="AH36" i="24" s="1"/>
  <c r="X36" i="24"/>
  <c r="Z36" i="24" s="1"/>
  <c r="AA36" i="24" s="1"/>
  <c r="R36" i="24"/>
  <c r="T36" i="24" s="1"/>
  <c r="U36" i="24" s="1"/>
  <c r="L36" i="24"/>
  <c r="N36" i="24" s="1"/>
  <c r="O36" i="24" s="1"/>
  <c r="F36" i="24"/>
  <c r="H36" i="24" s="1"/>
  <c r="I36" i="24" s="1"/>
  <c r="DA35" i="24"/>
  <c r="BK35" i="24"/>
  <c r="BL35" i="24" s="1"/>
  <c r="BE35" i="24"/>
  <c r="AX35" i="24"/>
  <c r="AW35" i="24"/>
  <c r="AQ35" i="24"/>
  <c r="AS35" i="24" s="1"/>
  <c r="AT35" i="24" s="1"/>
  <c r="AL35" i="24"/>
  <c r="AK35" i="24"/>
  <c r="AE35" i="24"/>
  <c r="AG35" i="24" s="1"/>
  <c r="AH35" i="24" s="1"/>
  <c r="X35" i="24"/>
  <c r="Z35" i="24" s="1"/>
  <c r="AA35" i="24" s="1"/>
  <c r="R35" i="24"/>
  <c r="T35" i="24" s="1"/>
  <c r="U35" i="24" s="1"/>
  <c r="L35" i="24"/>
  <c r="N35" i="24" s="1"/>
  <c r="O35" i="24" s="1"/>
  <c r="F35" i="24"/>
  <c r="H35" i="24" s="1"/>
  <c r="I35" i="24" s="1"/>
  <c r="EN34" i="24"/>
  <c r="EM34" i="24"/>
  <c r="EL34" i="24"/>
  <c r="EH34" i="24"/>
  <c r="EF34" i="24"/>
  <c r="EB34" i="24"/>
  <c r="DZ34" i="24"/>
  <c r="DT34" i="24"/>
  <c r="DP34" i="24"/>
  <c r="DN34" i="24"/>
  <c r="DI34" i="24"/>
  <c r="DG34" i="24"/>
  <c r="DC34" i="24"/>
  <c r="DA34" i="24"/>
  <c r="CW34" i="24"/>
  <c r="CU34" i="24"/>
  <c r="CQ34" i="24"/>
  <c r="CO34" i="24"/>
  <c r="BK34" i="24"/>
  <c r="BL34" i="24" s="1"/>
  <c r="BE34" i="24"/>
  <c r="AX34" i="24"/>
  <c r="AW34" i="24"/>
  <c r="EG34" i="24" s="1"/>
  <c r="AQ34" i="24"/>
  <c r="AL34" i="24"/>
  <c r="AK34" i="24"/>
  <c r="DU34" i="24" s="1"/>
  <c r="AE34" i="24"/>
  <c r="DO34" i="24" s="1"/>
  <c r="X34" i="24"/>
  <c r="DH34" i="24" s="1"/>
  <c r="R34" i="24"/>
  <c r="T34" i="24" s="1"/>
  <c r="L34" i="24"/>
  <c r="CV34" i="24" s="1"/>
  <c r="F34" i="24"/>
  <c r="CP34" i="24" s="1"/>
  <c r="EN33" i="24"/>
  <c r="EN35" i="24" s="1"/>
  <c r="EM33" i="24"/>
  <c r="EL33" i="24"/>
  <c r="EG33" i="24"/>
  <c r="EF33" i="24"/>
  <c r="EB33" i="24"/>
  <c r="DZ33" i="24"/>
  <c r="DT33" i="24"/>
  <c r="DP33" i="24"/>
  <c r="DN33" i="24"/>
  <c r="DI33" i="24"/>
  <c r="DI35" i="24" s="1"/>
  <c r="DG33" i="24"/>
  <c r="DC33" i="24"/>
  <c r="DC35" i="24" s="1"/>
  <c r="DA33" i="24"/>
  <c r="CW33" i="24"/>
  <c r="CU33" i="24"/>
  <c r="CQ33" i="24"/>
  <c r="CO33" i="24"/>
  <c r="BK33" i="24"/>
  <c r="EO33" i="24" s="1"/>
  <c r="BE33" i="24"/>
  <c r="AX33" i="24"/>
  <c r="AY33" i="24" s="1"/>
  <c r="AQ33" i="24"/>
  <c r="EA33" i="24" s="1"/>
  <c r="AL33" i="24"/>
  <c r="DV33" i="24" s="1"/>
  <c r="AK33" i="24"/>
  <c r="DU33" i="24" s="1"/>
  <c r="AE33" i="24"/>
  <c r="DO33" i="24" s="1"/>
  <c r="X33" i="24"/>
  <c r="DH33" i="24" s="1"/>
  <c r="R33" i="24"/>
  <c r="T33" i="24" s="1"/>
  <c r="L33" i="24"/>
  <c r="CV33" i="24" s="1"/>
  <c r="F33" i="24"/>
  <c r="CP33" i="24" s="1"/>
  <c r="CP35" i="24" s="1"/>
  <c r="DA32" i="24"/>
  <c r="BK32" i="24"/>
  <c r="BL32" i="24" s="1"/>
  <c r="BE32" i="24"/>
  <c r="AX32" i="24"/>
  <c r="AW32" i="24"/>
  <c r="AQ32" i="24"/>
  <c r="AS32" i="24" s="1"/>
  <c r="AT32" i="24" s="1"/>
  <c r="AL32" i="24"/>
  <c r="AK32" i="24"/>
  <c r="AM32" i="24" s="1"/>
  <c r="AN32" i="24" s="1"/>
  <c r="AE32" i="24"/>
  <c r="AG32" i="24" s="1"/>
  <c r="AH32" i="24" s="1"/>
  <c r="X32" i="24"/>
  <c r="Z32" i="24" s="1"/>
  <c r="R32" i="24"/>
  <c r="T32" i="24" s="1"/>
  <c r="U32" i="24" s="1"/>
  <c r="L32" i="24"/>
  <c r="N32" i="24" s="1"/>
  <c r="O32" i="24" s="1"/>
  <c r="F32" i="24"/>
  <c r="H32" i="24" s="1"/>
  <c r="I32" i="24" s="1"/>
  <c r="EN31" i="24"/>
  <c r="EM31" i="24"/>
  <c r="EL31" i="24"/>
  <c r="EF31" i="24"/>
  <c r="EB31" i="24"/>
  <c r="DZ31" i="24"/>
  <c r="DT31" i="24"/>
  <c r="DP31" i="24"/>
  <c r="DN31" i="24"/>
  <c r="DI31" i="24"/>
  <c r="DG31" i="24"/>
  <c r="DC31" i="24"/>
  <c r="DA31" i="24"/>
  <c r="CW31" i="24"/>
  <c r="CU31" i="24"/>
  <c r="CQ31" i="24"/>
  <c r="CO31" i="24"/>
  <c r="BK31" i="24"/>
  <c r="BL31" i="24" s="1"/>
  <c r="BE31" i="24"/>
  <c r="AX31" i="24"/>
  <c r="EH31" i="24" s="1"/>
  <c r="AW31" i="24"/>
  <c r="EG31" i="24" s="1"/>
  <c r="AQ31" i="24"/>
  <c r="AS31" i="24" s="1"/>
  <c r="AL31" i="24"/>
  <c r="DV31" i="24" s="1"/>
  <c r="AK31" i="24"/>
  <c r="DU31" i="24" s="1"/>
  <c r="AE31" i="24"/>
  <c r="DO31" i="24" s="1"/>
  <c r="X31" i="24"/>
  <c r="R31" i="24"/>
  <c r="DB31" i="24" s="1"/>
  <c r="L31" i="24"/>
  <c r="CV31" i="24" s="1"/>
  <c r="F31" i="24"/>
  <c r="H31" i="24" s="1"/>
  <c r="CR31" i="24" s="1"/>
  <c r="EN30" i="24"/>
  <c r="EN32" i="24" s="1"/>
  <c r="EM30" i="24"/>
  <c r="EL30" i="24"/>
  <c r="EF30" i="24"/>
  <c r="EB30" i="24"/>
  <c r="EB32" i="24" s="1"/>
  <c r="DZ30" i="24"/>
  <c r="DT30" i="24"/>
  <c r="DP30" i="24"/>
  <c r="DN30" i="24"/>
  <c r="DI30" i="24"/>
  <c r="DG30" i="24"/>
  <c r="DC30" i="24"/>
  <c r="DC32" i="24" s="1"/>
  <c r="DA30" i="24"/>
  <c r="CW30" i="24"/>
  <c r="CU30" i="24"/>
  <c r="CQ30" i="24"/>
  <c r="CO30" i="24"/>
  <c r="BK30" i="24"/>
  <c r="BL30" i="24" s="1"/>
  <c r="BE30" i="24"/>
  <c r="AX30" i="24"/>
  <c r="AW30" i="24"/>
  <c r="EG30" i="24" s="1"/>
  <c r="AQ30" i="24"/>
  <c r="EA30" i="24" s="1"/>
  <c r="AL30" i="24"/>
  <c r="AK30" i="24"/>
  <c r="AE30" i="24"/>
  <c r="X30" i="24"/>
  <c r="Z30" i="24" s="1"/>
  <c r="R30" i="24"/>
  <c r="DB30" i="24" s="1"/>
  <c r="L30" i="24"/>
  <c r="F30" i="24"/>
  <c r="H30" i="24" s="1"/>
  <c r="BJ29" i="24"/>
  <c r="BJ43" i="24" s="1"/>
  <c r="BI29" i="24"/>
  <c r="BI43" i="24" s="1"/>
  <c r="BD29" i="24"/>
  <c r="BC29" i="24"/>
  <c r="AR29" i="24"/>
  <c r="AR43" i="24" s="1"/>
  <c r="AF29" i="24"/>
  <c r="AF43" i="24" s="1"/>
  <c r="Y29" i="24"/>
  <c r="Y43" i="24" s="1"/>
  <c r="S29" i="24"/>
  <c r="S43" i="24" s="1"/>
  <c r="M29" i="24"/>
  <c r="M43" i="24" s="1"/>
  <c r="G29" i="24"/>
  <c r="G43" i="24" s="1"/>
  <c r="BL28" i="24"/>
  <c r="BK28" i="24"/>
  <c r="BE28" i="24"/>
  <c r="AX28" i="24"/>
  <c r="AW28" i="24"/>
  <c r="AQ28" i="24"/>
  <c r="AS28" i="24" s="1"/>
  <c r="AT28" i="24" s="1"/>
  <c r="AL28" i="24"/>
  <c r="AK28" i="24"/>
  <c r="AE28" i="24"/>
  <c r="AG28" i="24" s="1"/>
  <c r="AH28" i="24" s="1"/>
  <c r="X28" i="24"/>
  <c r="Z28" i="24" s="1"/>
  <c r="AA28" i="24" s="1"/>
  <c r="R28" i="24"/>
  <c r="T28" i="24" s="1"/>
  <c r="U28" i="24" s="1"/>
  <c r="L28" i="24"/>
  <c r="N28" i="24" s="1"/>
  <c r="O28" i="24" s="1"/>
  <c r="F28" i="24"/>
  <c r="H28" i="24" s="1"/>
  <c r="I28" i="24" s="1"/>
  <c r="BK27" i="24"/>
  <c r="BL27" i="24" s="1"/>
  <c r="BE27" i="24"/>
  <c r="AX27" i="24"/>
  <c r="AW27" i="24"/>
  <c r="AQ27" i="24"/>
  <c r="AS27" i="24" s="1"/>
  <c r="AT27" i="24" s="1"/>
  <c r="AL27" i="24"/>
  <c r="AK27" i="24"/>
  <c r="AE27" i="24"/>
  <c r="AG27" i="24" s="1"/>
  <c r="AH27" i="24" s="1"/>
  <c r="X27" i="24"/>
  <c r="Z27" i="24" s="1"/>
  <c r="AA27" i="24" s="1"/>
  <c r="R27" i="24"/>
  <c r="T27" i="24" s="1"/>
  <c r="U27" i="24" s="1"/>
  <c r="L27" i="24"/>
  <c r="N27" i="24" s="1"/>
  <c r="O27" i="24" s="1"/>
  <c r="F27" i="24"/>
  <c r="H27" i="24" s="1"/>
  <c r="I27" i="24" s="1"/>
  <c r="BL26" i="24"/>
  <c r="BK26" i="24"/>
  <c r="BE26" i="24"/>
  <c r="AZ26" i="24"/>
  <c r="AY26" i="24"/>
  <c r="AX26" i="24"/>
  <c r="AW26" i="24"/>
  <c r="AQ26" i="24"/>
  <c r="AS26" i="24" s="1"/>
  <c r="AT26" i="24" s="1"/>
  <c r="AL26" i="24"/>
  <c r="AK26" i="24"/>
  <c r="AE26" i="24"/>
  <c r="AG26" i="24" s="1"/>
  <c r="AH26" i="24" s="1"/>
  <c r="AA26" i="24"/>
  <c r="AB26" i="24" s="1"/>
  <c r="Z26" i="24"/>
  <c r="U26" i="24"/>
  <c r="T26" i="24"/>
  <c r="O26" i="24"/>
  <c r="N26" i="24"/>
  <c r="I26" i="24"/>
  <c r="H26" i="24"/>
  <c r="F26" i="24"/>
  <c r="BK25" i="24"/>
  <c r="BL25" i="24" s="1"/>
  <c r="BE25" i="24"/>
  <c r="AX25" i="24"/>
  <c r="AW25" i="24"/>
  <c r="AQ25" i="24"/>
  <c r="AS25" i="24" s="1"/>
  <c r="AT25" i="24" s="1"/>
  <c r="AL25" i="24"/>
  <c r="AK25" i="24"/>
  <c r="AE25" i="24"/>
  <c r="AG25" i="24" s="1"/>
  <c r="AH25" i="24" s="1"/>
  <c r="X25" i="24"/>
  <c r="Z25" i="24" s="1"/>
  <c r="AA25" i="24" s="1"/>
  <c r="R25" i="24"/>
  <c r="T25" i="24" s="1"/>
  <c r="U25" i="24" s="1"/>
  <c r="L25" i="24"/>
  <c r="N25" i="24" s="1"/>
  <c r="O25" i="24" s="1"/>
  <c r="F25" i="24"/>
  <c r="H25" i="24" s="1"/>
  <c r="I25" i="24" s="1"/>
  <c r="BK24" i="24"/>
  <c r="BL24" i="24" s="1"/>
  <c r="BE24" i="24"/>
  <c r="AX24" i="24"/>
  <c r="AW24" i="24"/>
  <c r="AQ24" i="24"/>
  <c r="AS24" i="24" s="1"/>
  <c r="AT24" i="24" s="1"/>
  <c r="AL24" i="24"/>
  <c r="AK24" i="24"/>
  <c r="AE24" i="24"/>
  <c r="AG24" i="24" s="1"/>
  <c r="AH24" i="24" s="1"/>
  <c r="X24" i="24"/>
  <c r="Z24" i="24" s="1"/>
  <c r="AA24" i="24" s="1"/>
  <c r="R24" i="24"/>
  <c r="T24" i="24" s="1"/>
  <c r="U24" i="24" s="1"/>
  <c r="L24" i="24"/>
  <c r="N24" i="24" s="1"/>
  <c r="O24" i="24" s="1"/>
  <c r="F24" i="24"/>
  <c r="H24" i="24" s="1"/>
  <c r="I24" i="24" s="1"/>
  <c r="BL23" i="24"/>
  <c r="BK23" i="24"/>
  <c r="BE23" i="24"/>
  <c r="AX23" i="24"/>
  <c r="AW23" i="24"/>
  <c r="AQ23" i="24"/>
  <c r="AS23" i="24" s="1"/>
  <c r="AT23" i="24" s="1"/>
  <c r="AL23" i="24"/>
  <c r="AK23" i="24"/>
  <c r="AE23" i="24"/>
  <c r="AG23" i="24" s="1"/>
  <c r="AH23" i="24" s="1"/>
  <c r="X23" i="24"/>
  <c r="Z23" i="24" s="1"/>
  <c r="AA23" i="24" s="1"/>
  <c r="T23" i="24"/>
  <c r="U23" i="24" s="1"/>
  <c r="R23" i="24"/>
  <c r="L23" i="24"/>
  <c r="N23" i="24" s="1"/>
  <c r="O23" i="24" s="1"/>
  <c r="F23" i="24"/>
  <c r="H23" i="24" s="1"/>
  <c r="I23" i="24" s="1"/>
  <c r="BK22" i="24"/>
  <c r="BL22" i="24" s="1"/>
  <c r="BE22" i="24"/>
  <c r="AX22" i="24"/>
  <c r="AW22" i="24"/>
  <c r="AQ22" i="24"/>
  <c r="AL22" i="24"/>
  <c r="AK22" i="24"/>
  <c r="AE22" i="24"/>
  <c r="X22" i="24"/>
  <c r="Z22" i="24" s="1"/>
  <c r="AA22" i="24" s="1"/>
  <c r="R22" i="24"/>
  <c r="L22" i="24"/>
  <c r="F22" i="24"/>
  <c r="BJ21" i="24"/>
  <c r="BJ42" i="24" s="1"/>
  <c r="BI21" i="24"/>
  <c r="BI42" i="24" s="1"/>
  <c r="BD21" i="24"/>
  <c r="BC21" i="24"/>
  <c r="AR21" i="24"/>
  <c r="AR42" i="24" s="1"/>
  <c r="AF21" i="24"/>
  <c r="Y21" i="24"/>
  <c r="S21" i="24"/>
  <c r="S42" i="24" s="1"/>
  <c r="M21" i="24"/>
  <c r="M42" i="24" s="1"/>
  <c r="G21" i="24"/>
  <c r="G38" i="24" s="1"/>
  <c r="G45" i="24" s="1"/>
  <c r="BL20" i="24"/>
  <c r="BK20" i="24"/>
  <c r="BE20" i="24"/>
  <c r="AX20" i="24"/>
  <c r="AW20" i="24"/>
  <c r="AQ20" i="24"/>
  <c r="AS20" i="24" s="1"/>
  <c r="AT20" i="24" s="1"/>
  <c r="AL20" i="24"/>
  <c r="AK20" i="24"/>
  <c r="AE20" i="24"/>
  <c r="AG20" i="24" s="1"/>
  <c r="AH20" i="24" s="1"/>
  <c r="X20" i="24"/>
  <c r="Z20" i="24" s="1"/>
  <c r="AA20" i="24" s="1"/>
  <c r="R20" i="24"/>
  <c r="T20" i="24" s="1"/>
  <c r="U20" i="24" s="1"/>
  <c r="L20" i="24"/>
  <c r="N20" i="24" s="1"/>
  <c r="O20" i="24" s="1"/>
  <c r="F20" i="24"/>
  <c r="H20" i="24" s="1"/>
  <c r="I20" i="24" s="1"/>
  <c r="BK19" i="24"/>
  <c r="BL19" i="24" s="1"/>
  <c r="BE19" i="24"/>
  <c r="AX19" i="24"/>
  <c r="AW19" i="24"/>
  <c r="AQ19" i="24"/>
  <c r="AS19" i="24" s="1"/>
  <c r="AT19" i="24" s="1"/>
  <c r="AL19" i="24"/>
  <c r="AK19" i="24"/>
  <c r="AE19" i="24"/>
  <c r="AG19" i="24" s="1"/>
  <c r="AH19" i="24" s="1"/>
  <c r="X19" i="24"/>
  <c r="Z19" i="24" s="1"/>
  <c r="AA19" i="24" s="1"/>
  <c r="R19" i="24"/>
  <c r="T19" i="24" s="1"/>
  <c r="U19" i="24" s="1"/>
  <c r="L19" i="24"/>
  <c r="N19" i="24" s="1"/>
  <c r="O19" i="24" s="1"/>
  <c r="F19" i="24"/>
  <c r="H19" i="24" s="1"/>
  <c r="I19" i="24" s="1"/>
  <c r="BK18" i="24"/>
  <c r="BL18" i="24" s="1"/>
  <c r="BE18" i="24"/>
  <c r="AX18" i="24"/>
  <c r="AW18" i="24"/>
  <c r="AQ18" i="24"/>
  <c r="AS18" i="24" s="1"/>
  <c r="AT18" i="24" s="1"/>
  <c r="AL18" i="24"/>
  <c r="AK18" i="24"/>
  <c r="AE18" i="24"/>
  <c r="AG18" i="24" s="1"/>
  <c r="AH18" i="24" s="1"/>
  <c r="X18" i="24"/>
  <c r="Z18" i="24" s="1"/>
  <c r="AA18" i="24" s="1"/>
  <c r="R18" i="24"/>
  <c r="T18" i="24" s="1"/>
  <c r="U18" i="24" s="1"/>
  <c r="L18" i="24"/>
  <c r="N18" i="24" s="1"/>
  <c r="O18" i="24" s="1"/>
  <c r="F18" i="24"/>
  <c r="H18" i="24" s="1"/>
  <c r="I18" i="24" s="1"/>
  <c r="BK17" i="24"/>
  <c r="BL17" i="24" s="1"/>
  <c r="BE17" i="24"/>
  <c r="AX17" i="24"/>
  <c r="AW17" i="24"/>
  <c r="AQ17" i="24"/>
  <c r="AS17" i="24" s="1"/>
  <c r="AT17" i="24" s="1"/>
  <c r="AL17" i="24"/>
  <c r="AK17" i="24"/>
  <c r="AE17" i="24"/>
  <c r="AG17" i="24" s="1"/>
  <c r="AH17" i="24" s="1"/>
  <c r="X17" i="24"/>
  <c r="Z17" i="24" s="1"/>
  <c r="AA17" i="24" s="1"/>
  <c r="R17" i="24"/>
  <c r="T17" i="24" s="1"/>
  <c r="U17" i="24" s="1"/>
  <c r="L17" i="24"/>
  <c r="N17" i="24" s="1"/>
  <c r="O17" i="24" s="1"/>
  <c r="F17" i="24"/>
  <c r="H17" i="24" s="1"/>
  <c r="I17" i="24" s="1"/>
  <c r="BK16" i="24"/>
  <c r="BL16" i="24" s="1"/>
  <c r="BE16" i="24"/>
  <c r="AX16" i="24"/>
  <c r="AW16" i="24"/>
  <c r="AQ16" i="24"/>
  <c r="AS16" i="24" s="1"/>
  <c r="AT16" i="24" s="1"/>
  <c r="AL16" i="24"/>
  <c r="AM16" i="24" s="1"/>
  <c r="AN16" i="24" s="1"/>
  <c r="AK16" i="24"/>
  <c r="AE16" i="24"/>
  <c r="AG16" i="24" s="1"/>
  <c r="AH16" i="24" s="1"/>
  <c r="X16" i="24"/>
  <c r="Z16" i="24" s="1"/>
  <c r="AA16" i="24" s="1"/>
  <c r="R16" i="24"/>
  <c r="T16" i="24" s="1"/>
  <c r="U16" i="24" s="1"/>
  <c r="L16" i="24"/>
  <c r="N16" i="24" s="1"/>
  <c r="O16" i="24" s="1"/>
  <c r="F16" i="24"/>
  <c r="H16" i="24" s="1"/>
  <c r="I16" i="24" s="1"/>
  <c r="BK15" i="24"/>
  <c r="BL15" i="24" s="1"/>
  <c r="BE15" i="24"/>
  <c r="AX15" i="24"/>
  <c r="AW15" i="24"/>
  <c r="AQ15" i="24"/>
  <c r="AS15" i="24" s="1"/>
  <c r="AT15" i="24" s="1"/>
  <c r="AL15" i="24"/>
  <c r="AK15" i="24"/>
  <c r="AE15" i="24"/>
  <c r="AG15" i="24" s="1"/>
  <c r="AH15" i="24" s="1"/>
  <c r="X15" i="24"/>
  <c r="Z15" i="24" s="1"/>
  <c r="AA15" i="24" s="1"/>
  <c r="R15" i="24"/>
  <c r="T15" i="24" s="1"/>
  <c r="U15" i="24" s="1"/>
  <c r="L15" i="24"/>
  <c r="N15" i="24" s="1"/>
  <c r="O15" i="24" s="1"/>
  <c r="F15" i="24"/>
  <c r="H15" i="24" s="1"/>
  <c r="I15" i="24" s="1"/>
  <c r="BK14" i="24"/>
  <c r="BL14" i="24" s="1"/>
  <c r="BE14" i="24"/>
  <c r="AX14" i="24"/>
  <c r="AW14" i="24"/>
  <c r="AQ14" i="24"/>
  <c r="AS14" i="24" s="1"/>
  <c r="AT14" i="24" s="1"/>
  <c r="AL14" i="24"/>
  <c r="AK14" i="24"/>
  <c r="AE14" i="24"/>
  <c r="AG14" i="24" s="1"/>
  <c r="AH14" i="24" s="1"/>
  <c r="X14" i="24"/>
  <c r="Z14" i="24" s="1"/>
  <c r="AA14" i="24" s="1"/>
  <c r="R14" i="24"/>
  <c r="T14" i="24" s="1"/>
  <c r="U14" i="24" s="1"/>
  <c r="L14" i="24"/>
  <c r="N14" i="24" s="1"/>
  <c r="O14" i="24" s="1"/>
  <c r="F14" i="24"/>
  <c r="H14" i="24" s="1"/>
  <c r="I14" i="24" s="1"/>
  <c r="DA13" i="24"/>
  <c r="BK13" i="24"/>
  <c r="BL13" i="24" s="1"/>
  <c r="BE13" i="24"/>
  <c r="AX13" i="24"/>
  <c r="AW13" i="24"/>
  <c r="AQ13" i="24"/>
  <c r="AS13" i="24" s="1"/>
  <c r="AT13" i="24" s="1"/>
  <c r="AL13" i="24"/>
  <c r="AM13" i="24" s="1"/>
  <c r="AN13" i="24" s="1"/>
  <c r="AK13" i="24"/>
  <c r="AE13" i="24"/>
  <c r="AG13" i="24" s="1"/>
  <c r="AH13" i="24" s="1"/>
  <c r="X13" i="24"/>
  <c r="Z13" i="24" s="1"/>
  <c r="R13" i="24"/>
  <c r="T13" i="24" s="1"/>
  <c r="U13" i="24" s="1"/>
  <c r="L13" i="24"/>
  <c r="N13" i="24" s="1"/>
  <c r="O13" i="24" s="1"/>
  <c r="F13" i="24"/>
  <c r="H13" i="24" s="1"/>
  <c r="I13" i="24" s="1"/>
  <c r="EN12" i="24"/>
  <c r="EM12" i="24"/>
  <c r="EL12" i="24"/>
  <c r="EF12" i="24"/>
  <c r="EB12" i="24"/>
  <c r="DZ12" i="24"/>
  <c r="DT12" i="24"/>
  <c r="DP12" i="24"/>
  <c r="DN12" i="24"/>
  <c r="DI12" i="24"/>
  <c r="DG12" i="24"/>
  <c r="DC12" i="24"/>
  <c r="DA12" i="24"/>
  <c r="CW12" i="24"/>
  <c r="CU12" i="24"/>
  <c r="CQ12" i="24"/>
  <c r="CO12" i="24"/>
  <c r="BK12" i="24"/>
  <c r="BL12" i="24" s="1"/>
  <c r="BE12" i="24"/>
  <c r="AX12" i="24"/>
  <c r="AW12" i="24"/>
  <c r="AQ12" i="24"/>
  <c r="AS12" i="24" s="1"/>
  <c r="AT12" i="24" s="1"/>
  <c r="AL12" i="24"/>
  <c r="AK12" i="24"/>
  <c r="AE12" i="24"/>
  <c r="AG12" i="24" s="1"/>
  <c r="AH12" i="24" s="1"/>
  <c r="X12" i="24"/>
  <c r="Z12" i="24" s="1"/>
  <c r="AA12" i="24" s="1"/>
  <c r="R12" i="24"/>
  <c r="T12" i="24" s="1"/>
  <c r="U12" i="24" s="1"/>
  <c r="L12" i="24"/>
  <c r="N12" i="24" s="1"/>
  <c r="O12" i="24" s="1"/>
  <c r="F12" i="24"/>
  <c r="H12" i="24" s="1"/>
  <c r="I12" i="24" s="1"/>
  <c r="EN11" i="24"/>
  <c r="EM11" i="24"/>
  <c r="EM13" i="24" s="1"/>
  <c r="EL11" i="24"/>
  <c r="EF11" i="24"/>
  <c r="EB11" i="24"/>
  <c r="DZ11" i="24"/>
  <c r="DT11" i="24"/>
  <c r="DP11" i="24"/>
  <c r="DN11" i="24"/>
  <c r="DI11" i="24"/>
  <c r="DG11" i="24"/>
  <c r="DC11" i="24"/>
  <c r="DC13" i="24" s="1"/>
  <c r="DA11" i="24"/>
  <c r="CW11" i="24"/>
  <c r="CW13" i="24" s="1"/>
  <c r="CU11" i="24"/>
  <c r="CQ11" i="24"/>
  <c r="CQ13" i="24" s="1"/>
  <c r="CO11" i="24"/>
  <c r="CO13" i="24" s="1"/>
  <c r="BK11" i="24"/>
  <c r="EO12" i="24" s="1"/>
  <c r="BE11" i="24"/>
  <c r="AX11" i="24"/>
  <c r="AW11" i="24"/>
  <c r="EG12" i="24" s="1"/>
  <c r="AQ11" i="24"/>
  <c r="EA12" i="24" s="1"/>
  <c r="AL11" i="24"/>
  <c r="DV12" i="24" s="1"/>
  <c r="AK11" i="24"/>
  <c r="DU12" i="24" s="1"/>
  <c r="AE11" i="24"/>
  <c r="DO12" i="24" s="1"/>
  <c r="X11" i="24"/>
  <c r="DH12" i="24" s="1"/>
  <c r="R11" i="24"/>
  <c r="DB12" i="24" s="1"/>
  <c r="L11" i="24"/>
  <c r="F11" i="24"/>
  <c r="CP12" i="24" s="1"/>
  <c r="DA10" i="24"/>
  <c r="BK10" i="24"/>
  <c r="EO11" i="24" s="1"/>
  <c r="BE10" i="24"/>
  <c r="AX10" i="24"/>
  <c r="AW10" i="24"/>
  <c r="EG11" i="24" s="1"/>
  <c r="AQ10" i="24"/>
  <c r="EA11" i="24" s="1"/>
  <c r="AL10" i="24"/>
  <c r="DV11" i="24" s="1"/>
  <c r="AK10" i="24"/>
  <c r="DU11" i="24" s="1"/>
  <c r="AE10" i="24"/>
  <c r="DO11" i="24" s="1"/>
  <c r="X10" i="24"/>
  <c r="DH11" i="24" s="1"/>
  <c r="R10" i="24"/>
  <c r="T10" i="24" s="1"/>
  <c r="L10" i="24"/>
  <c r="CV11" i="24" s="1"/>
  <c r="F10" i="24"/>
  <c r="H10" i="24" s="1"/>
  <c r="EN9" i="24"/>
  <c r="EM9" i="24"/>
  <c r="EL9" i="24"/>
  <c r="EF9" i="24"/>
  <c r="EB9" i="24"/>
  <c r="DZ9" i="24"/>
  <c r="DT9" i="24"/>
  <c r="DP9" i="24"/>
  <c r="DN9" i="24"/>
  <c r="DI9" i="24"/>
  <c r="DG9" i="24"/>
  <c r="DC9" i="24"/>
  <c r="DA9" i="24"/>
  <c r="CW9" i="24"/>
  <c r="CU9" i="24"/>
  <c r="CQ9" i="24"/>
  <c r="CO9" i="24"/>
  <c r="BK9" i="24"/>
  <c r="EO9" i="24" s="1"/>
  <c r="BE9" i="24"/>
  <c r="AX9" i="24"/>
  <c r="AW9" i="24"/>
  <c r="EG9" i="24" s="1"/>
  <c r="AQ9" i="24"/>
  <c r="EA9" i="24" s="1"/>
  <c r="AL9" i="24"/>
  <c r="AK9" i="24"/>
  <c r="DU9" i="24" s="1"/>
  <c r="AE9" i="24"/>
  <c r="AG9" i="24" s="1"/>
  <c r="X9" i="24"/>
  <c r="DH9" i="24" s="1"/>
  <c r="R9" i="24"/>
  <c r="DB9" i="24" s="1"/>
  <c r="L9" i="24"/>
  <c r="N9" i="24" s="1"/>
  <c r="F9" i="24"/>
  <c r="H9" i="24" s="1"/>
  <c r="EN8" i="24"/>
  <c r="EM8" i="24"/>
  <c r="EL8" i="24"/>
  <c r="EF8" i="24"/>
  <c r="EB8" i="24"/>
  <c r="DZ8" i="24"/>
  <c r="DT8" i="24"/>
  <c r="DP8" i="24"/>
  <c r="DN8" i="24"/>
  <c r="DI8" i="24"/>
  <c r="DG8" i="24"/>
  <c r="DC8" i="24"/>
  <c r="DA8" i="24"/>
  <c r="CW8" i="24"/>
  <c r="CU8" i="24"/>
  <c r="CQ8" i="24"/>
  <c r="CO8" i="24"/>
  <c r="BK8" i="24"/>
  <c r="EO8" i="24" s="1"/>
  <c r="BE8" i="24"/>
  <c r="AX8" i="24"/>
  <c r="AW8" i="24"/>
  <c r="EG8" i="24" s="1"/>
  <c r="AQ8" i="24"/>
  <c r="AS8" i="24" s="1"/>
  <c r="AL8" i="24"/>
  <c r="DV8" i="24" s="1"/>
  <c r="AK8" i="24"/>
  <c r="DU8" i="24" s="1"/>
  <c r="AE8" i="24"/>
  <c r="DO8" i="24" s="1"/>
  <c r="X8" i="24"/>
  <c r="Z8" i="24" s="1"/>
  <c r="R8" i="24"/>
  <c r="DB8" i="24" s="1"/>
  <c r="L8" i="24"/>
  <c r="N8" i="24" s="1"/>
  <c r="F8" i="24"/>
  <c r="H8" i="24" s="1"/>
  <c r="EN7" i="24"/>
  <c r="EM7" i="24"/>
  <c r="EL7" i="24"/>
  <c r="EF7" i="24"/>
  <c r="EB7" i="24"/>
  <c r="DZ7" i="24"/>
  <c r="DT7" i="24"/>
  <c r="DP7" i="24"/>
  <c r="DN7" i="24"/>
  <c r="DI7" i="24"/>
  <c r="DG7" i="24"/>
  <c r="DC7" i="24"/>
  <c r="DA7" i="24"/>
  <c r="CW7" i="24"/>
  <c r="CU7" i="24"/>
  <c r="CQ7" i="24"/>
  <c r="CO7" i="24"/>
  <c r="BK7" i="24"/>
  <c r="EO7" i="24" s="1"/>
  <c r="BE7" i="24"/>
  <c r="AX7" i="24"/>
  <c r="AW7" i="24"/>
  <c r="EG7" i="24" s="1"/>
  <c r="AQ7" i="24"/>
  <c r="EA7" i="24" s="1"/>
  <c r="AL7" i="24"/>
  <c r="AK7" i="24"/>
  <c r="DU7" i="24" s="1"/>
  <c r="AE7" i="24"/>
  <c r="AG7" i="24" s="1"/>
  <c r="X7" i="24"/>
  <c r="DH7" i="24" s="1"/>
  <c r="R7" i="24"/>
  <c r="DB7" i="24" s="1"/>
  <c r="L7" i="24"/>
  <c r="N7" i="24" s="1"/>
  <c r="F7" i="24"/>
  <c r="H7" i="24" s="1"/>
  <c r="EN6" i="24"/>
  <c r="EM6" i="24"/>
  <c r="EL6" i="24"/>
  <c r="EF6" i="24"/>
  <c r="EB6" i="24"/>
  <c r="DZ6" i="24"/>
  <c r="DT6" i="24"/>
  <c r="DP6" i="24"/>
  <c r="DN6" i="24"/>
  <c r="DI6" i="24"/>
  <c r="DG6" i="24"/>
  <c r="DC6" i="24"/>
  <c r="DA6" i="24"/>
  <c r="CW6" i="24"/>
  <c r="CV6" i="24"/>
  <c r="CU6" i="24"/>
  <c r="CQ6" i="24"/>
  <c r="CO6" i="24"/>
  <c r="BL6" i="24"/>
  <c r="BK6" i="24"/>
  <c r="EO6" i="24" s="1"/>
  <c r="BE6" i="24"/>
  <c r="AX6" i="24"/>
  <c r="AW6" i="24"/>
  <c r="EG6" i="24" s="1"/>
  <c r="AQ6" i="24"/>
  <c r="AS6" i="24" s="1"/>
  <c r="AL6" i="24"/>
  <c r="DV6" i="24" s="1"/>
  <c r="AK6" i="24"/>
  <c r="DU6" i="24" s="1"/>
  <c r="AE6" i="24"/>
  <c r="AG6" i="24" s="1"/>
  <c r="DQ6" i="24" s="1"/>
  <c r="X6" i="24"/>
  <c r="DH6" i="24" s="1"/>
  <c r="R6" i="24"/>
  <c r="DB6" i="24" s="1"/>
  <c r="N6" i="24"/>
  <c r="CX6" i="24" s="1"/>
  <c r="F6" i="24"/>
  <c r="CP6" i="24" s="1"/>
  <c r="EN5" i="24"/>
  <c r="EM5" i="24"/>
  <c r="EL5" i="24"/>
  <c r="EF5" i="24"/>
  <c r="EB5" i="24"/>
  <c r="DZ5" i="24"/>
  <c r="DT5" i="24"/>
  <c r="DP5" i="24"/>
  <c r="DN5" i="24"/>
  <c r="DI5" i="24"/>
  <c r="DG5" i="24"/>
  <c r="DC5" i="24"/>
  <c r="DA5" i="24"/>
  <c r="CW5" i="24"/>
  <c r="CU5" i="24"/>
  <c r="CQ5" i="24"/>
  <c r="CO5" i="24"/>
  <c r="BK5" i="24"/>
  <c r="BL5" i="24" s="1"/>
  <c r="BE5" i="24"/>
  <c r="AX5" i="24"/>
  <c r="AW5" i="24"/>
  <c r="EG5" i="24" s="1"/>
  <c r="AQ5" i="24"/>
  <c r="EA5" i="24" s="1"/>
  <c r="AL5" i="24"/>
  <c r="AK5" i="24"/>
  <c r="DU5" i="24" s="1"/>
  <c r="AE5" i="24"/>
  <c r="AG5" i="24" s="1"/>
  <c r="X5" i="24"/>
  <c r="DH5" i="24" s="1"/>
  <c r="R5" i="24"/>
  <c r="DB5" i="24" s="1"/>
  <c r="L5" i="24"/>
  <c r="CV5" i="24" s="1"/>
  <c r="F5" i="24"/>
  <c r="H5" i="24" s="1"/>
  <c r="EN4" i="24"/>
  <c r="EN10" i="24" s="1"/>
  <c r="EM4" i="24"/>
  <c r="EL4" i="24"/>
  <c r="EF4" i="24"/>
  <c r="EB4" i="24"/>
  <c r="DZ4" i="24"/>
  <c r="DT4" i="24"/>
  <c r="DP4" i="24"/>
  <c r="DN4" i="24"/>
  <c r="DI4" i="24"/>
  <c r="DG4" i="24"/>
  <c r="DC4" i="24"/>
  <c r="DA4" i="24"/>
  <c r="CW4" i="24"/>
  <c r="CU4" i="24"/>
  <c r="CQ4" i="24"/>
  <c r="CQ10" i="24" s="1"/>
  <c r="CO4" i="24"/>
  <c r="BK4" i="24"/>
  <c r="BL4" i="24" s="1"/>
  <c r="BE4" i="24"/>
  <c r="AX4" i="24"/>
  <c r="EH4" i="24" s="1"/>
  <c r="AW4" i="24"/>
  <c r="AQ4" i="24"/>
  <c r="AS4" i="24" s="1"/>
  <c r="AL4" i="24"/>
  <c r="AK4" i="24"/>
  <c r="AE4" i="24"/>
  <c r="X4" i="24"/>
  <c r="DH4" i="24" s="1"/>
  <c r="R4" i="24"/>
  <c r="L4" i="24"/>
  <c r="CV4" i="24" s="1"/>
  <c r="F4" i="24"/>
  <c r="F18" i="25" l="1"/>
  <c r="G18" i="25" s="1"/>
  <c r="H18" i="25" s="1"/>
  <c r="J18" i="25" s="1"/>
  <c r="F28" i="25"/>
  <c r="G42" i="25"/>
  <c r="H42" i="25" s="1"/>
  <c r="J42" i="25" s="1"/>
  <c r="F19" i="25"/>
  <c r="F43" i="25"/>
  <c r="J31" i="25"/>
  <c r="F20" i="25"/>
  <c r="G44" i="25"/>
  <c r="H44" i="25" s="1"/>
  <c r="J44" i="25" s="1"/>
  <c r="F21" i="25"/>
  <c r="G21" i="25" s="1"/>
  <c r="H21" i="25" s="1"/>
  <c r="J21" i="25" s="1"/>
  <c r="G33" i="25"/>
  <c r="H33" i="25" s="1"/>
  <c r="J33" i="25" s="1"/>
  <c r="G22" i="25"/>
  <c r="H22" i="25" s="1"/>
  <c r="J22" i="25" s="1"/>
  <c r="G23" i="25"/>
  <c r="H23" i="25" s="1"/>
  <c r="J23" i="25" s="1"/>
  <c r="F35" i="25"/>
  <c r="G35" i="25" s="1"/>
  <c r="F13" i="25"/>
  <c r="G13" i="25" s="1"/>
  <c r="H13" i="25" s="1"/>
  <c r="J13" i="25" s="1"/>
  <c r="G24" i="25"/>
  <c r="H24" i="25" s="1"/>
  <c r="J24" i="25" s="1"/>
  <c r="F36" i="25"/>
  <c r="G36" i="25" s="1"/>
  <c r="H36" i="25" s="1"/>
  <c r="J36" i="25" s="1"/>
  <c r="F14" i="25"/>
  <c r="G14" i="25" s="1"/>
  <c r="H14" i="25" s="1"/>
  <c r="J14" i="25" s="1"/>
  <c r="F25" i="25"/>
  <c r="F38" i="25"/>
  <c r="G38" i="25" s="1"/>
  <c r="H38" i="25" s="1"/>
  <c r="J38" i="25" s="1"/>
  <c r="F15" i="25"/>
  <c r="G15" i="25" s="1"/>
  <c r="H15" i="25" s="1"/>
  <c r="J15" i="25" s="1"/>
  <c r="H26" i="25"/>
  <c r="J26" i="25" s="1"/>
  <c r="G26" i="25"/>
  <c r="G39" i="25"/>
  <c r="H39" i="25" s="1"/>
  <c r="J39" i="25" s="1"/>
  <c r="G16" i="25"/>
  <c r="H16" i="25" s="1"/>
  <c r="J16" i="25" s="1"/>
  <c r="G27" i="25"/>
  <c r="H27" i="25" s="1"/>
  <c r="J27" i="25" s="1"/>
  <c r="G40" i="25"/>
  <c r="H40" i="25" s="1"/>
  <c r="J40" i="25" s="1"/>
  <c r="F17" i="25"/>
  <c r="G17" i="25" s="1"/>
  <c r="H17" i="25" s="1"/>
  <c r="J17" i="25" s="1"/>
  <c r="H35" i="25"/>
  <c r="AY9" i="24"/>
  <c r="DV13" i="24"/>
  <c r="BE29" i="24"/>
  <c r="AY35" i="24"/>
  <c r="AZ35" i="24" s="1"/>
  <c r="EM10" i="24"/>
  <c r="AF38" i="24"/>
  <c r="AF45" i="24" s="1"/>
  <c r="DP13" i="24"/>
  <c r="DQ13" i="24" s="1"/>
  <c r="AY23" i="24"/>
  <c r="AZ23" i="24" s="1"/>
  <c r="BK29" i="24"/>
  <c r="BK43" i="24" s="1"/>
  <c r="DI10" i="24"/>
  <c r="EM35" i="24"/>
  <c r="EO35" i="24" s="1"/>
  <c r="EP35" i="24" s="1"/>
  <c r="AY5" i="24"/>
  <c r="EI5" i="24" s="1"/>
  <c r="BL11" i="24"/>
  <c r="EP12" i="24" s="1"/>
  <c r="Y38" i="24"/>
  <c r="Y45" i="24" s="1"/>
  <c r="AB24" i="24"/>
  <c r="AM35" i="24"/>
  <c r="AN35" i="24" s="1"/>
  <c r="BL7" i="24"/>
  <c r="BL9" i="24"/>
  <c r="EO13" i="24"/>
  <c r="EP13" i="24" s="1"/>
  <c r="AY18" i="24"/>
  <c r="AZ18" i="24" s="1"/>
  <c r="BD38" i="24"/>
  <c r="BE38" i="24" s="1"/>
  <c r="AX29" i="24"/>
  <c r="AX43" i="24" s="1"/>
  <c r="AY27" i="24"/>
  <c r="AZ27" i="24" s="1"/>
  <c r="AY28" i="24"/>
  <c r="AZ28" i="24" s="1"/>
  <c r="EN13" i="24"/>
  <c r="BL33" i="24"/>
  <c r="CW10" i="24"/>
  <c r="EG13" i="24"/>
  <c r="BC38" i="24"/>
  <c r="AY4" i="24"/>
  <c r="EI4" i="24" s="1"/>
  <c r="CQ35" i="24"/>
  <c r="CR35" i="24" s="1"/>
  <c r="CS35" i="24" s="1"/>
  <c r="AY12" i="24"/>
  <c r="AZ12" i="24" s="1"/>
  <c r="DC10" i="24"/>
  <c r="CQ32" i="24"/>
  <c r="EG35" i="24"/>
  <c r="BK37" i="24"/>
  <c r="BK44" i="24" s="1"/>
  <c r="AO42" i="3"/>
  <c r="H6" i="24"/>
  <c r="CR6" i="24" s="1"/>
  <c r="CW35" i="24"/>
  <c r="AY32" i="24"/>
  <c r="AZ32" i="24" s="1"/>
  <c r="BL8" i="24"/>
  <c r="BL10" i="24"/>
  <c r="EP11" i="24" s="1"/>
  <c r="CW32" i="24"/>
  <c r="EM32" i="24"/>
  <c r="EO32" i="24" s="1"/>
  <c r="EP32" i="24" s="1"/>
  <c r="DP35" i="24"/>
  <c r="AM17" i="24"/>
  <c r="AN17" i="24" s="1"/>
  <c r="DH13" i="24"/>
  <c r="T5" i="24"/>
  <c r="DD5" i="24" s="1"/>
  <c r="AY17" i="24"/>
  <c r="AZ17" i="24" s="1"/>
  <c r="AY6" i="24"/>
  <c r="CP7" i="24"/>
  <c r="AM24" i="24"/>
  <c r="AN24" i="24" s="1"/>
  <c r="AE37" i="24"/>
  <c r="AE44" i="24" s="1"/>
  <c r="AY19" i="24"/>
  <c r="AZ19" i="24" s="1"/>
  <c r="AM28" i="24"/>
  <c r="AN28" i="24" s="1"/>
  <c r="O6" i="24"/>
  <c r="CY6" i="24" s="1"/>
  <c r="DI32" i="24"/>
  <c r="CP31" i="24"/>
  <c r="T31" i="24"/>
  <c r="DD31" i="24" s="1"/>
  <c r="R29" i="24"/>
  <c r="AS33" i="24"/>
  <c r="EC33" i="24" s="1"/>
  <c r="DO13" i="24"/>
  <c r="AY16" i="24"/>
  <c r="AZ16" i="24" s="1"/>
  <c r="AB27" i="24"/>
  <c r="AM9" i="24"/>
  <c r="AN9" i="24" s="1"/>
  <c r="DX9" i="24" s="1"/>
  <c r="CV7" i="24"/>
  <c r="Z34" i="24"/>
  <c r="AA34" i="24" s="1"/>
  <c r="DK34" i="24" s="1"/>
  <c r="AM22" i="24"/>
  <c r="AN22" i="24" s="1"/>
  <c r="AM19" i="24"/>
  <c r="AN19" i="24" s="1"/>
  <c r="AM14" i="24"/>
  <c r="AN14" i="24" s="1"/>
  <c r="AG33" i="24"/>
  <c r="AH33" i="24" s="1"/>
  <c r="DR33" i="24" s="1"/>
  <c r="Z6" i="24"/>
  <c r="AA6" i="24" s="1"/>
  <c r="DK6" i="24" s="1"/>
  <c r="DP10" i="24"/>
  <c r="AM12" i="24"/>
  <c r="AN12" i="24" s="1"/>
  <c r="DP32" i="24"/>
  <c r="DU35" i="24"/>
  <c r="AM34" i="24"/>
  <c r="DW34" i="24" s="1"/>
  <c r="EB13" i="24"/>
  <c r="AM36" i="24"/>
  <c r="AN36" i="24" s="1"/>
  <c r="AG10" i="24"/>
  <c r="DQ11" i="24" s="1"/>
  <c r="AM15" i="24"/>
  <c r="AN15" i="24" s="1"/>
  <c r="EA4" i="24"/>
  <c r="AM25" i="24"/>
  <c r="AN25" i="24" s="1"/>
  <c r="AM27" i="24"/>
  <c r="AN27" i="24" s="1"/>
  <c r="AM20" i="24"/>
  <c r="AN20" i="24" s="1"/>
  <c r="Z4" i="24"/>
  <c r="AA4" i="24" s="1"/>
  <c r="DK4" i="24" s="1"/>
  <c r="N4" i="24"/>
  <c r="O4" i="24" s="1"/>
  <c r="CY4" i="24" s="1"/>
  <c r="DJ30" i="24"/>
  <c r="AA30" i="24"/>
  <c r="DK30" i="24" s="1"/>
  <c r="AT4" i="24"/>
  <c r="ED4" i="24" s="1"/>
  <c r="EC4" i="24"/>
  <c r="AB25" i="24"/>
  <c r="AA8" i="24"/>
  <c r="DK8" i="24" s="1"/>
  <c r="DJ8" i="24"/>
  <c r="CX7" i="24"/>
  <c r="O7" i="24"/>
  <c r="CY7" i="24" s="1"/>
  <c r="CX9" i="24"/>
  <c r="O9" i="24"/>
  <c r="CY9" i="24" s="1"/>
  <c r="DD34" i="24"/>
  <c r="U34" i="24"/>
  <c r="DE34" i="24" s="1"/>
  <c r="AE21" i="24"/>
  <c r="AG21" i="24" s="1"/>
  <c r="AG42" i="24" s="1"/>
  <c r="N5" i="24"/>
  <c r="O5" i="24" s="1"/>
  <c r="CY5" i="24" s="1"/>
  <c r="DO5" i="24"/>
  <c r="AM7" i="24"/>
  <c r="AN7" i="24" s="1"/>
  <c r="DX7" i="24" s="1"/>
  <c r="AG8" i="24"/>
  <c r="DQ8" i="24" s="1"/>
  <c r="CV8" i="24"/>
  <c r="CP9" i="24"/>
  <c r="T22" i="24"/>
  <c r="U22" i="24" s="1"/>
  <c r="AB22" i="24" s="1"/>
  <c r="AY25" i="24"/>
  <c r="AZ25" i="24" s="1"/>
  <c r="N31" i="24"/>
  <c r="O31" i="24" s="1"/>
  <c r="CY31" i="24" s="1"/>
  <c r="H33" i="24"/>
  <c r="AT33" i="24"/>
  <c r="ED33" i="24" s="1"/>
  <c r="DB34" i="24"/>
  <c r="AK21" i="24"/>
  <c r="AK42" i="24" s="1"/>
  <c r="Z10" i="24"/>
  <c r="AY13" i="24"/>
  <c r="AZ13" i="24" s="1"/>
  <c r="X29" i="24"/>
  <c r="Z29" i="24" s="1"/>
  <c r="Z43" i="24" s="1"/>
  <c r="AB35" i="24"/>
  <c r="BO35" i="24" s="1"/>
  <c r="BP35" i="24" s="1"/>
  <c r="EB10" i="24"/>
  <c r="DJ6" i="24"/>
  <c r="AY7" i="24"/>
  <c r="CV9" i="24"/>
  <c r="AE29" i="24"/>
  <c r="AE43" i="24" s="1"/>
  <c r="AG30" i="24"/>
  <c r="N33" i="24"/>
  <c r="O33" i="24" s="1"/>
  <c r="CY33" i="24" s="1"/>
  <c r="N34" i="24"/>
  <c r="O34" i="24" s="1"/>
  <c r="CY34" i="24" s="1"/>
  <c r="AL21" i="24"/>
  <c r="Z5" i="24"/>
  <c r="DJ5" i="24" s="1"/>
  <c r="AK29" i="24"/>
  <c r="AK43" i="24" s="1"/>
  <c r="AY34" i="24"/>
  <c r="EI34" i="24" s="1"/>
  <c r="X37" i="24"/>
  <c r="Z37" i="24" s="1"/>
  <c r="Z44" i="24" s="1"/>
  <c r="F21" i="24"/>
  <c r="AY8" i="24"/>
  <c r="DH8" i="24"/>
  <c r="DH10" i="24" s="1"/>
  <c r="DH35" i="24"/>
  <c r="DG35" i="24" s="1"/>
  <c r="DJ35" i="24" s="1"/>
  <c r="H4" i="24"/>
  <c r="CR4" i="24" s="1"/>
  <c r="AW21" i="24"/>
  <c r="AW42" i="24" s="1"/>
  <c r="EH5" i="24"/>
  <c r="DO6" i="24"/>
  <c r="DO7" i="24"/>
  <c r="AY14" i="24"/>
  <c r="AZ14" i="24" s="1"/>
  <c r="AM18" i="24"/>
  <c r="AN18" i="24" s="1"/>
  <c r="AY20" i="24"/>
  <c r="AZ20" i="24" s="1"/>
  <c r="AQ29" i="24"/>
  <c r="AM26" i="24"/>
  <c r="AN26" i="24" s="1"/>
  <c r="BO26" i="24" s="1"/>
  <c r="BP26" i="24" s="1"/>
  <c r="EA31" i="24"/>
  <c r="EA32" i="24" s="1"/>
  <c r="EC32" i="24" s="1"/>
  <c r="ED32" i="24" s="1"/>
  <c r="EB35" i="24"/>
  <c r="AM5" i="24"/>
  <c r="AN5" i="24" s="1"/>
  <c r="DX5" i="24" s="1"/>
  <c r="AB28" i="24"/>
  <c r="AQ37" i="24"/>
  <c r="AS37" i="24" s="1"/>
  <c r="AS44" i="24" s="1"/>
  <c r="DH30" i="24"/>
  <c r="AB36" i="24"/>
  <c r="AB16" i="24"/>
  <c r="BO16" i="24" s="1"/>
  <c r="BP16" i="24" s="1"/>
  <c r="AB19" i="24"/>
  <c r="F29" i="24"/>
  <c r="F43" i="24" s="1"/>
  <c r="L37" i="24"/>
  <c r="DJ4" i="24"/>
  <c r="AY10" i="24"/>
  <c r="AZ10" i="24" s="1"/>
  <c r="EJ11" i="24" s="1"/>
  <c r="H22" i="24"/>
  <c r="I22" i="24" s="1"/>
  <c r="AM23" i="24"/>
  <c r="AN23" i="24" s="1"/>
  <c r="N30" i="24"/>
  <c r="O30" i="24" s="1"/>
  <c r="CY30" i="24" s="1"/>
  <c r="AY30" i="24"/>
  <c r="EI30" i="24" s="1"/>
  <c r="EH33" i="24"/>
  <c r="EH35" i="24" s="1"/>
  <c r="DV34" i="24"/>
  <c r="DV35" i="24" s="1"/>
  <c r="X21" i="24"/>
  <c r="AM6" i="24"/>
  <c r="DW6" i="24" s="1"/>
  <c r="DO9" i="24"/>
  <c r="AM11" i="24"/>
  <c r="AN11" i="24" s="1"/>
  <c r="DX12" i="24" s="1"/>
  <c r="AY15" i="24"/>
  <c r="AZ15" i="24" s="1"/>
  <c r="DB32" i="24"/>
  <c r="DO30" i="24"/>
  <c r="DO32" i="24" s="1"/>
  <c r="AY31" i="24"/>
  <c r="AG34" i="24"/>
  <c r="D11" i="25"/>
  <c r="E11" i="25" s="1"/>
  <c r="AO26" i="3"/>
  <c r="AZ9" i="24"/>
  <c r="EJ9" i="24" s="1"/>
  <c r="EI9" i="24"/>
  <c r="EO10" i="24"/>
  <c r="EP10" i="24" s="1"/>
  <c r="I9" i="24"/>
  <c r="CS9" i="24" s="1"/>
  <c r="CR9" i="24"/>
  <c r="AB12" i="24"/>
  <c r="CR11" i="24"/>
  <c r="I10" i="24"/>
  <c r="CS11" i="24" s="1"/>
  <c r="EI11" i="24"/>
  <c r="I5" i="24"/>
  <c r="CS5" i="24" s="1"/>
  <c r="CR5" i="24"/>
  <c r="AH7" i="24"/>
  <c r="DR7" i="24" s="1"/>
  <c r="DQ7" i="24"/>
  <c r="AT6" i="24"/>
  <c r="ED6" i="24" s="1"/>
  <c r="EC6" i="24"/>
  <c r="U10" i="24"/>
  <c r="DE11" i="24" s="1"/>
  <c r="DD11" i="24"/>
  <c r="EP5" i="24"/>
  <c r="EI6" i="24"/>
  <c r="AZ6" i="24"/>
  <c r="EJ6" i="24" s="1"/>
  <c r="EP4" i="24"/>
  <c r="DQ9" i="24"/>
  <c r="AH9" i="24"/>
  <c r="DR9" i="24" s="1"/>
  <c r="I7" i="24"/>
  <c r="CS7" i="24" s="1"/>
  <c r="CR7" i="24"/>
  <c r="AZ7" i="24"/>
  <c r="EJ7" i="24" s="1"/>
  <c r="EI7" i="24"/>
  <c r="AT8" i="24"/>
  <c r="ED8" i="24" s="1"/>
  <c r="EC8" i="24"/>
  <c r="AH5" i="24"/>
  <c r="DR5" i="24" s="1"/>
  <c r="DQ5" i="24"/>
  <c r="I8" i="24"/>
  <c r="CS8" i="24" s="1"/>
  <c r="CR8" i="24"/>
  <c r="AZ8" i="24"/>
  <c r="EJ8" i="24" s="1"/>
  <c r="EI8" i="24"/>
  <c r="O8" i="24"/>
  <c r="CY8" i="24" s="1"/>
  <c r="CX8" i="24"/>
  <c r="U5" i="24"/>
  <c r="DE5" i="24" s="1"/>
  <c r="I6" i="24"/>
  <c r="CS6" i="24" s="1"/>
  <c r="AS9" i="24"/>
  <c r="CV12" i="24"/>
  <c r="CV13" i="24" s="1"/>
  <c r="CX13" i="24" s="1"/>
  <c r="CY13" i="24" s="1"/>
  <c r="N11" i="24"/>
  <c r="EH11" i="24"/>
  <c r="AB14" i="24"/>
  <c r="AB17" i="24"/>
  <c r="AW29" i="24"/>
  <c r="AY24" i="24"/>
  <c r="AZ24" i="24" s="1"/>
  <c r="BO24" i="24" s="1"/>
  <c r="BP24" i="24" s="1"/>
  <c r="AH6" i="24"/>
  <c r="DR6" i="24" s="1"/>
  <c r="AS7" i="24"/>
  <c r="L21" i="24"/>
  <c r="AS5" i="24"/>
  <c r="CP5" i="24"/>
  <c r="EA6" i="24"/>
  <c r="Z7" i="24"/>
  <c r="EH7" i="24"/>
  <c r="EA8" i="24"/>
  <c r="Z9" i="24"/>
  <c r="EH9" i="24"/>
  <c r="N10" i="24"/>
  <c r="DB11" i="24"/>
  <c r="DB13" i="24" s="1"/>
  <c r="DD13" i="24" s="1"/>
  <c r="DE13" i="24" s="1"/>
  <c r="AB20" i="24"/>
  <c r="EP31" i="24"/>
  <c r="EO4" i="24"/>
  <c r="EP6" i="24"/>
  <c r="EP8" i="24"/>
  <c r="N22" i="24"/>
  <c r="O22" i="24" s="1"/>
  <c r="L29" i="24"/>
  <c r="AK37" i="24"/>
  <c r="DU30" i="24"/>
  <c r="DU32" i="24" s="1"/>
  <c r="DV7" i="24"/>
  <c r="AM8" i="24"/>
  <c r="DV9" i="24"/>
  <c r="AM10" i="24"/>
  <c r="T11" i="24"/>
  <c r="DU13" i="24"/>
  <c r="DW13" i="24" s="1"/>
  <c r="DX13" i="24" s="1"/>
  <c r="DK13" i="24"/>
  <c r="AA13" i="24"/>
  <c r="AB13" i="24" s="1"/>
  <c r="T29" i="24"/>
  <c r="T43" i="24" s="1"/>
  <c r="R43" i="24"/>
  <c r="AM30" i="24"/>
  <c r="AG4" i="24"/>
  <c r="R21" i="24"/>
  <c r="AM4" i="24"/>
  <c r="DO4" i="24"/>
  <c r="DV5" i="24"/>
  <c r="T6" i="24"/>
  <c r="T8" i="24"/>
  <c r="CP11" i="24"/>
  <c r="CP13" i="24" s="1"/>
  <c r="CR13" i="24" s="1"/>
  <c r="CS13" i="24" s="1"/>
  <c r="I30" i="24"/>
  <c r="CS30" i="24" s="1"/>
  <c r="CR30" i="24"/>
  <c r="DH31" i="24"/>
  <c r="Z31" i="24"/>
  <c r="EP34" i="24"/>
  <c r="T4" i="24"/>
  <c r="DB4" i="24"/>
  <c r="DB10" i="24" s="1"/>
  <c r="EA13" i="24"/>
  <c r="AS11" i="24"/>
  <c r="AB15" i="24"/>
  <c r="BO15" i="24" s="1"/>
  <c r="BP15" i="24" s="1"/>
  <c r="AB18" i="24"/>
  <c r="EG32" i="24"/>
  <c r="AZ33" i="24"/>
  <c r="EJ33" i="24" s="1"/>
  <c r="EI33" i="24"/>
  <c r="I4" i="24"/>
  <c r="CS4" i="24" s="1"/>
  <c r="AQ21" i="24"/>
  <c r="CP8" i="24"/>
  <c r="AS10" i="24"/>
  <c r="Z11" i="24"/>
  <c r="CV35" i="24"/>
  <c r="CX35" i="24" s="1"/>
  <c r="CY35" i="24" s="1"/>
  <c r="AN34" i="24"/>
  <c r="DX34" i="24" s="1"/>
  <c r="DK35" i="24"/>
  <c r="AZ4" i="24"/>
  <c r="EJ4" i="24" s="1"/>
  <c r="CP4" i="24"/>
  <c r="EG4" i="24"/>
  <c r="EG10" i="24" s="1"/>
  <c r="EH6" i="24"/>
  <c r="EH8" i="24"/>
  <c r="DI13" i="24"/>
  <c r="DD32" i="24"/>
  <c r="DE32" i="24" s="1"/>
  <c r="AS34" i="24"/>
  <c r="EA34" i="24"/>
  <c r="EA35" i="24" s="1"/>
  <c r="EC35" i="24" s="1"/>
  <c r="ED35" i="24" s="1"/>
  <c r="AS29" i="24"/>
  <c r="AS43" i="24" s="1"/>
  <c r="AQ43" i="24"/>
  <c r="EO5" i="24"/>
  <c r="EP7" i="24"/>
  <c r="EP9" i="24"/>
  <c r="EH12" i="24"/>
  <c r="AY11" i="24"/>
  <c r="EP30" i="24"/>
  <c r="EO30" i="24"/>
  <c r="DD33" i="24"/>
  <c r="U33" i="24"/>
  <c r="DE33" i="24" s="1"/>
  <c r="DU4" i="24"/>
  <c r="DU10" i="24" s="1"/>
  <c r="AT31" i="24"/>
  <c r="ED31" i="24" s="1"/>
  <c r="EC31" i="24"/>
  <c r="DK32" i="24"/>
  <c r="AA32" i="24"/>
  <c r="AB32" i="24" s="1"/>
  <c r="BO32" i="24" s="1"/>
  <c r="BP32" i="24" s="1"/>
  <c r="AZ34" i="24"/>
  <c r="EJ34" i="24" s="1"/>
  <c r="F42" i="24"/>
  <c r="H21" i="24"/>
  <c r="H42" i="24" s="1"/>
  <c r="AX21" i="24"/>
  <c r="DV4" i="24"/>
  <c r="T7" i="24"/>
  <c r="T9" i="24"/>
  <c r="H11" i="24"/>
  <c r="AG11" i="24"/>
  <c r="AB23" i="24"/>
  <c r="EI31" i="24"/>
  <c r="AZ31" i="24"/>
  <c r="EJ31" i="24" s="1"/>
  <c r="DO35" i="24"/>
  <c r="DQ35" i="24" s="1"/>
  <c r="DR35" i="24" s="1"/>
  <c r="AM33" i="24"/>
  <c r="DB33" i="24"/>
  <c r="AW37" i="24"/>
  <c r="BI38" i="24"/>
  <c r="BE21" i="24"/>
  <c r="AS30" i="24"/>
  <c r="CP30" i="24"/>
  <c r="I31" i="24"/>
  <c r="CS31" i="24" s="1"/>
  <c r="AG31" i="24"/>
  <c r="H34" i="24"/>
  <c r="AX37" i="24"/>
  <c r="AX44" i="24" s="1"/>
  <c r="M38" i="24"/>
  <c r="M45" i="24" s="1"/>
  <c r="BJ38" i="24"/>
  <c r="BJ45" i="24" s="1"/>
  <c r="Y42" i="24"/>
  <c r="AS22" i="24"/>
  <c r="AT22" i="24" s="1"/>
  <c r="AL29" i="24"/>
  <c r="AL43" i="24" s="1"/>
  <c r="EH30" i="24"/>
  <c r="EH32" i="24" s="1"/>
  <c r="EO31" i="24"/>
  <c r="F37" i="24"/>
  <c r="BK21" i="24"/>
  <c r="BK42" i="24" s="1"/>
  <c r="DV30" i="24"/>
  <c r="DV32" i="24" s="1"/>
  <c r="Z33" i="24"/>
  <c r="EO34" i="24"/>
  <c r="S38" i="24"/>
  <c r="S45" i="24" s="1"/>
  <c r="AR38" i="24"/>
  <c r="AR45" i="24" s="1"/>
  <c r="G42" i="24"/>
  <c r="AF42" i="24"/>
  <c r="AM31" i="24"/>
  <c r="AY22" i="24"/>
  <c r="AZ22" i="24" s="1"/>
  <c r="CV30" i="24"/>
  <c r="CV32" i="24" s="1"/>
  <c r="AG22" i="24"/>
  <c r="AH22" i="24" s="1"/>
  <c r="AL37" i="24"/>
  <c r="AL44" i="24" s="1"/>
  <c r="R37" i="24"/>
  <c r="EP33" i="24"/>
  <c r="T30" i="24"/>
  <c r="G20" i="25" l="1"/>
  <c r="H20" i="25" s="1"/>
  <c r="J20" i="25" s="1"/>
  <c r="G28" i="25"/>
  <c r="H28" i="25" s="1"/>
  <c r="J28" i="25" s="1"/>
  <c r="G25" i="25"/>
  <c r="H25" i="25" s="1"/>
  <c r="J25" i="25" s="1"/>
  <c r="J35" i="25"/>
  <c r="H11" i="25"/>
  <c r="J11" i="25" s="1"/>
  <c r="AZ5" i="24"/>
  <c r="EJ5" i="24" s="1"/>
  <c r="EI35" i="24"/>
  <c r="EJ35" i="24" s="1"/>
  <c r="AM21" i="24"/>
  <c r="AM42" i="24" s="1"/>
  <c r="BO25" i="24"/>
  <c r="BP25" i="24" s="1"/>
  <c r="BO17" i="24"/>
  <c r="BP17" i="24" s="1"/>
  <c r="U31" i="24"/>
  <c r="DE31" i="24" s="1"/>
  <c r="EC13" i="24"/>
  <c r="ED13" i="24" s="1"/>
  <c r="BO27" i="24"/>
  <c r="BP27" i="24" s="1"/>
  <c r="CX32" i="24"/>
  <c r="CY32" i="24" s="1"/>
  <c r="DQ33" i="24"/>
  <c r="DG10" i="24"/>
  <c r="DJ10" i="24" s="1"/>
  <c r="DN13" i="24"/>
  <c r="DR13" i="24" s="1"/>
  <c r="DG13" i="24"/>
  <c r="DJ13" i="24" s="1"/>
  <c r="DB35" i="24"/>
  <c r="DD35" i="24" s="1"/>
  <c r="DE35" i="24" s="1"/>
  <c r="AE42" i="24"/>
  <c r="BO19" i="24"/>
  <c r="BP19" i="24" s="1"/>
  <c r="DL13" i="24"/>
  <c r="CX34" i="24"/>
  <c r="CX33" i="24"/>
  <c r="AZ30" i="24"/>
  <c r="EJ30" i="24" s="1"/>
  <c r="BO12" i="24"/>
  <c r="BP12" i="24" s="1"/>
  <c r="DD10" i="24"/>
  <c r="DE10" i="24" s="1"/>
  <c r="BO28" i="24"/>
  <c r="BP28" i="24" s="1"/>
  <c r="CX5" i="24"/>
  <c r="AQ44" i="24"/>
  <c r="DJ34" i="24"/>
  <c r="BO18" i="24"/>
  <c r="BP18" i="24" s="1"/>
  <c r="AG37" i="24"/>
  <c r="AG44" i="24" s="1"/>
  <c r="DW9" i="24"/>
  <c r="AK38" i="24"/>
  <c r="AK45" i="24" s="1"/>
  <c r="BO23" i="24"/>
  <c r="BP23" i="24" s="1"/>
  <c r="DW35" i="24"/>
  <c r="DX35" i="24" s="1"/>
  <c r="BO36" i="24"/>
  <c r="BP36" i="24" s="1"/>
  <c r="AM29" i="24"/>
  <c r="AM43" i="24" s="1"/>
  <c r="EH10" i="24"/>
  <c r="EI10" i="24" s="1"/>
  <c r="EJ10" i="24" s="1"/>
  <c r="DH32" i="24"/>
  <c r="DG32" i="24" s="1"/>
  <c r="DJ32" i="24" s="1"/>
  <c r="BO14" i="24"/>
  <c r="BP14" i="24" s="1"/>
  <c r="AL42" i="24"/>
  <c r="DW7" i="24"/>
  <c r="CV10" i="24"/>
  <c r="CX10" i="24" s="1"/>
  <c r="CY10" i="24" s="1"/>
  <c r="CP32" i="24"/>
  <c r="CR32" i="24" s="1"/>
  <c r="CS32" i="24" s="1"/>
  <c r="AH10" i="24"/>
  <c r="DR11" i="24" s="1"/>
  <c r="BO13" i="24"/>
  <c r="BP13" i="24" s="1"/>
  <c r="CX30" i="24"/>
  <c r="DW12" i="24"/>
  <c r="BO20" i="24"/>
  <c r="BP20" i="24" s="1"/>
  <c r="X38" i="24"/>
  <c r="X45" i="24" s="1"/>
  <c r="CX31" i="24"/>
  <c r="X44" i="24"/>
  <c r="DL32" i="24"/>
  <c r="CX4" i="24"/>
  <c r="AN6" i="24"/>
  <c r="DX6" i="24" s="1"/>
  <c r="DQ32" i="24"/>
  <c r="DR32" i="24" s="1"/>
  <c r="AE38" i="24"/>
  <c r="AG38" i="24" s="1"/>
  <c r="AG45" i="24" s="1"/>
  <c r="DO10" i="24"/>
  <c r="DQ10" i="24" s="1"/>
  <c r="DR10" i="24" s="1"/>
  <c r="DQ34" i="24"/>
  <c r="AH34" i="24"/>
  <c r="DR34" i="24" s="1"/>
  <c r="AG29" i="24"/>
  <c r="AG43" i="24" s="1"/>
  <c r="BO22" i="24"/>
  <c r="BP22" i="24" s="1"/>
  <c r="F38" i="24"/>
  <c r="H38" i="24" s="1"/>
  <c r="H45" i="24" s="1"/>
  <c r="AW38" i="24"/>
  <c r="AW45" i="24" s="1"/>
  <c r="DK10" i="24"/>
  <c r="AA10" i="24"/>
  <c r="DJ11" i="24"/>
  <c r="EI32" i="24"/>
  <c r="EJ32" i="24" s="1"/>
  <c r="H29" i="24"/>
  <c r="H43" i="24" s="1"/>
  <c r="X43" i="24"/>
  <c r="AB34" i="24"/>
  <c r="DL34" i="24" s="1"/>
  <c r="EA10" i="24"/>
  <c r="EC10" i="24" s="1"/>
  <c r="ED10" i="24" s="1"/>
  <c r="X42" i="24"/>
  <c r="AH30" i="24"/>
  <c r="DR30" i="24" s="1"/>
  <c r="DQ30" i="24"/>
  <c r="CR33" i="24"/>
  <c r="I33" i="24"/>
  <c r="CS33" i="24" s="1"/>
  <c r="AA5" i="24"/>
  <c r="AB5" i="24" s="1"/>
  <c r="DL5" i="24" s="1"/>
  <c r="Z21" i="24"/>
  <c r="Z42" i="24" s="1"/>
  <c r="DW5" i="24"/>
  <c r="AH8" i="24"/>
  <c r="DR8" i="24" s="1"/>
  <c r="L44" i="24"/>
  <c r="N37" i="24"/>
  <c r="N44" i="24" s="1"/>
  <c r="AT34" i="24"/>
  <c r="EC34" i="24"/>
  <c r="AK44" i="24"/>
  <c r="AM37" i="24"/>
  <c r="AM44" i="24" s="1"/>
  <c r="CR34" i="24"/>
  <c r="I34" i="24"/>
  <c r="CS34" i="24" s="1"/>
  <c r="DD4" i="24"/>
  <c r="U4" i="24"/>
  <c r="DW8" i="24"/>
  <c r="AN8" i="24"/>
  <c r="DX8" i="24" s="1"/>
  <c r="F44" i="24"/>
  <c r="H37" i="24"/>
  <c r="H44" i="24" s="1"/>
  <c r="DQ31" i="24"/>
  <c r="AH31" i="24"/>
  <c r="DR31" i="24" s="1"/>
  <c r="DD8" i="24"/>
  <c r="U8" i="24"/>
  <c r="DD6" i="24"/>
  <c r="U6" i="24"/>
  <c r="AL38" i="24"/>
  <c r="AL45" i="24" s="1"/>
  <c r="DJ7" i="24"/>
  <c r="AA7" i="24"/>
  <c r="DQ12" i="24"/>
  <c r="AH11" i="24"/>
  <c r="DR12" i="24" s="1"/>
  <c r="U9" i="24"/>
  <c r="DE9" i="24" s="1"/>
  <c r="DD9" i="24"/>
  <c r="DW4" i="24"/>
  <c r="AN4" i="24"/>
  <c r="DX4" i="24" s="1"/>
  <c r="EC5" i="24"/>
  <c r="AT5" i="24"/>
  <c r="BI45" i="24"/>
  <c r="BK38" i="24"/>
  <c r="BK45" i="24" s="1"/>
  <c r="AW44" i="24"/>
  <c r="AY37" i="24"/>
  <c r="AY44" i="24" s="1"/>
  <c r="U7" i="24"/>
  <c r="DE7" i="24" s="1"/>
  <c r="DD7" i="24"/>
  <c r="R42" i="24"/>
  <c r="T21" i="24"/>
  <c r="T42" i="24" s="1"/>
  <c r="R38" i="24"/>
  <c r="L42" i="24"/>
  <c r="N21" i="24"/>
  <c r="N42" i="24" s="1"/>
  <c r="L38" i="24"/>
  <c r="EH13" i="24"/>
  <c r="EI13" i="24" s="1"/>
  <c r="EJ13" i="24" s="1"/>
  <c r="EC30" i="24"/>
  <c r="AT30" i="24"/>
  <c r="AA31" i="24"/>
  <c r="DJ31" i="24"/>
  <c r="CR12" i="24"/>
  <c r="I11" i="24"/>
  <c r="CS12" i="24" s="1"/>
  <c r="DD30" i="24"/>
  <c r="U30" i="24"/>
  <c r="T37" i="24"/>
  <c r="T44" i="24" s="1"/>
  <c r="R44" i="24"/>
  <c r="DL35" i="24"/>
  <c r="DV10" i="24"/>
  <c r="DW10" i="24" s="1"/>
  <c r="DX10" i="24" s="1"/>
  <c r="DJ12" i="24"/>
  <c r="AA11" i="24"/>
  <c r="DQ4" i="24"/>
  <c r="AH4" i="24"/>
  <c r="DR4" i="24" s="1"/>
  <c r="DD12" i="24"/>
  <c r="U11" i="24"/>
  <c r="DE12" i="24" s="1"/>
  <c r="CX12" i="24"/>
  <c r="O11" i="24"/>
  <c r="CY12" i="24" s="1"/>
  <c r="DJ33" i="24"/>
  <c r="AA33" i="24"/>
  <c r="DW33" i="24"/>
  <c r="AN33" i="24"/>
  <c r="DX33" i="24" s="1"/>
  <c r="AX38" i="24"/>
  <c r="AX45" i="24" s="1"/>
  <c r="AX42" i="24"/>
  <c r="CP10" i="24"/>
  <c r="CR10" i="24" s="1"/>
  <c r="CS10" i="24" s="1"/>
  <c r="EC11" i="24"/>
  <c r="AT10" i="24"/>
  <c r="EC12" i="24"/>
  <c r="AT11" i="24"/>
  <c r="ED12" i="24" s="1"/>
  <c r="EC7" i="24"/>
  <c r="AT7" i="24"/>
  <c r="ED7" i="24" s="1"/>
  <c r="DW11" i="24"/>
  <c r="AN10" i="24"/>
  <c r="DX11" i="24" s="1"/>
  <c r="DW32" i="24"/>
  <c r="DX32" i="24" s="1"/>
  <c r="CX11" i="24"/>
  <c r="O10" i="24"/>
  <c r="CY11" i="24" s="1"/>
  <c r="AN31" i="24"/>
  <c r="DX31" i="24" s="1"/>
  <c r="DW31" i="24"/>
  <c r="EI12" i="24"/>
  <c r="AZ11" i="24"/>
  <c r="AN30" i="24"/>
  <c r="DX30" i="24" s="1"/>
  <c r="DW30" i="24"/>
  <c r="EC9" i="24"/>
  <c r="AT9" i="24"/>
  <c r="AY21" i="24"/>
  <c r="AY42" i="24" s="1"/>
  <c r="AY29" i="24"/>
  <c r="AY43" i="24" s="1"/>
  <c r="AW43" i="24"/>
  <c r="AQ42" i="24"/>
  <c r="AS21" i="24"/>
  <c r="AS42" i="24" s="1"/>
  <c r="AQ38" i="24"/>
  <c r="L43" i="24"/>
  <c r="N29" i="24"/>
  <c r="N43" i="24" s="1"/>
  <c r="DJ9" i="24"/>
  <c r="AA9" i="24"/>
  <c r="EQ13" i="24" l="1"/>
  <c r="DL10" i="24"/>
  <c r="EQ35" i="24"/>
  <c r="Z38" i="24"/>
  <c r="Z45" i="24" s="1"/>
  <c r="EQ32" i="24"/>
  <c r="AE45" i="24"/>
  <c r="EQ10" i="24"/>
  <c r="DK5" i="24"/>
  <c r="AY38" i="24"/>
  <c r="AY45" i="24" s="1"/>
  <c r="F45" i="24"/>
  <c r="DK11" i="24"/>
  <c r="AB10" i="24"/>
  <c r="BO10" i="24" s="1"/>
  <c r="BP10" i="24" s="1"/>
  <c r="AM38" i="24"/>
  <c r="AM45" i="24" s="1"/>
  <c r="ED11" i="24"/>
  <c r="DE8" i="24"/>
  <c r="AB8" i="24"/>
  <c r="L45" i="24"/>
  <c r="N38" i="24"/>
  <c r="N45" i="24" s="1"/>
  <c r="DE30" i="24"/>
  <c r="AB30" i="24"/>
  <c r="DL30" i="24" s="1"/>
  <c r="ED9" i="24"/>
  <c r="AS38" i="24"/>
  <c r="AS45" i="24" s="1"/>
  <c r="AQ45" i="24"/>
  <c r="DK9" i="24"/>
  <c r="AB9" i="24"/>
  <c r="DL9" i="24" s="1"/>
  <c r="DK12" i="24"/>
  <c r="AB11" i="24"/>
  <c r="BO11" i="24" s="1"/>
  <c r="BP11" i="24" s="1"/>
  <c r="ED5" i="24"/>
  <c r="BO5" i="24"/>
  <c r="BP5" i="24" s="1"/>
  <c r="DK7" i="24"/>
  <c r="AB7" i="24"/>
  <c r="ED34" i="24"/>
  <c r="EQ34" i="24" s="1"/>
  <c r="BO34" i="24"/>
  <c r="BP34" i="24" s="1"/>
  <c r="R45" i="24"/>
  <c r="T38" i="24"/>
  <c r="T45" i="24" s="1"/>
  <c r="AB33" i="24"/>
  <c r="DK33" i="24"/>
  <c r="AB31" i="24"/>
  <c r="DK31" i="24"/>
  <c r="EJ12" i="24"/>
  <c r="ED30" i="24"/>
  <c r="DE6" i="24"/>
  <c r="AB6" i="24"/>
  <c r="DE4" i="24"/>
  <c r="AB4" i="24"/>
  <c r="DL12" i="24" l="1"/>
  <c r="DL11" i="24"/>
  <c r="BO30" i="24"/>
  <c r="BP30" i="24" s="1"/>
  <c r="BO9" i="24"/>
  <c r="BP9" i="24" s="1"/>
  <c r="DL6" i="24"/>
  <c r="BO6" i="24"/>
  <c r="BP6" i="24" s="1"/>
  <c r="EQ30" i="24"/>
  <c r="DL8" i="24"/>
  <c r="BO8" i="24"/>
  <c r="BP8" i="24" s="1"/>
  <c r="DL4" i="24"/>
  <c r="BO4" i="24"/>
  <c r="BP4" i="24" s="1"/>
  <c r="DL7" i="24"/>
  <c r="BO7" i="24"/>
  <c r="BP7" i="24" s="1"/>
  <c r="DL31" i="24"/>
  <c r="EQ31" i="24" s="1"/>
  <c r="BO31" i="24"/>
  <c r="BP31" i="24" s="1"/>
  <c r="DL33" i="24"/>
  <c r="EQ33" i="24" s="1"/>
  <c r="BO33" i="24"/>
  <c r="BP33" i="24" s="1"/>
  <c r="EJ40" i="23" l="1"/>
  <c r="EE40" i="23"/>
  <c r="EF40" i="23" s="1"/>
  <c r="EG40" i="23" s="1"/>
  <c r="EH40" i="23" s="1"/>
  <c r="EJ39" i="23"/>
  <c r="EE39" i="23"/>
  <c r="EF39" i="23" s="1"/>
  <c r="EG39" i="23" s="1"/>
  <c r="EH39" i="23" s="1"/>
  <c r="EI39" i="23" s="1"/>
  <c r="EJ38" i="23"/>
  <c r="EE38" i="23"/>
  <c r="EF38" i="23" s="1"/>
  <c r="EG38" i="23" s="1"/>
  <c r="EH38" i="23" s="1"/>
  <c r="EJ37" i="23"/>
  <c r="EE37" i="23"/>
  <c r="EF37" i="23" s="1"/>
  <c r="EG37" i="23" s="1"/>
  <c r="EH37" i="23" s="1"/>
  <c r="EI37" i="23" s="1"/>
  <c r="EJ36" i="23"/>
  <c r="EE36" i="23"/>
  <c r="EF36" i="23" s="1"/>
  <c r="EG36" i="23" s="1"/>
  <c r="EH36" i="23" s="1"/>
  <c r="EJ35" i="23"/>
  <c r="EE35" i="23"/>
  <c r="EF35" i="23" s="1"/>
  <c r="EG35" i="23" s="1"/>
  <c r="EH35" i="23" s="1"/>
  <c r="EI35" i="23" s="1"/>
  <c r="EJ34" i="23"/>
  <c r="EE34" i="23"/>
  <c r="EF34" i="23" s="1"/>
  <c r="EG34" i="23" s="1"/>
  <c r="EH34" i="23" s="1"/>
  <c r="EJ32" i="23"/>
  <c r="EE32" i="23"/>
  <c r="EF32" i="23" s="1"/>
  <c r="EG32" i="23" s="1"/>
  <c r="EH32" i="23" s="1"/>
  <c r="EI32" i="23" s="1"/>
  <c r="EJ31" i="23"/>
  <c r="EE31" i="23"/>
  <c r="EF31" i="23" s="1"/>
  <c r="EG31" i="23" s="1"/>
  <c r="EH31" i="23" s="1"/>
  <c r="EJ30" i="23"/>
  <c r="EF30" i="23"/>
  <c r="EG30" i="23" s="1"/>
  <c r="EJ29" i="23"/>
  <c r="EE29" i="23"/>
  <c r="EF29" i="23" s="1"/>
  <c r="EG29" i="23" s="1"/>
  <c r="EH29" i="23" s="1"/>
  <c r="EJ28" i="23"/>
  <c r="EE28" i="23"/>
  <c r="EF28" i="23" s="1"/>
  <c r="EG28" i="23" s="1"/>
  <c r="EH28" i="23" s="1"/>
  <c r="EJ27" i="23"/>
  <c r="EE27" i="23"/>
  <c r="EF27" i="23" s="1"/>
  <c r="EG27" i="23" s="1"/>
  <c r="EH27" i="23" s="1"/>
  <c r="EI27" i="23" s="1"/>
  <c r="EJ26" i="23"/>
  <c r="EE26" i="23"/>
  <c r="EF26" i="23" s="1"/>
  <c r="EG26" i="23" s="1"/>
  <c r="EH26" i="23" s="1"/>
  <c r="EJ24" i="23"/>
  <c r="EE24" i="23"/>
  <c r="EF24" i="23" s="1"/>
  <c r="EG24" i="23" s="1"/>
  <c r="EH24" i="23" s="1"/>
  <c r="EI24" i="23" s="1"/>
  <c r="EJ23" i="23"/>
  <c r="EE23" i="23"/>
  <c r="EF23" i="23" s="1"/>
  <c r="EG23" i="23" s="1"/>
  <c r="EH23" i="23" s="1"/>
  <c r="EJ22" i="23"/>
  <c r="EE22" i="23"/>
  <c r="EF22" i="23" s="1"/>
  <c r="EG22" i="23" s="1"/>
  <c r="EH22" i="23" s="1"/>
  <c r="EJ21" i="23"/>
  <c r="EE21" i="23"/>
  <c r="EF21" i="23" s="1"/>
  <c r="EG21" i="23" s="1"/>
  <c r="EH21" i="23" s="1"/>
  <c r="EJ20" i="23"/>
  <c r="EE20" i="23"/>
  <c r="EF20" i="23" s="1"/>
  <c r="EG20" i="23" s="1"/>
  <c r="EH20" i="23" s="1"/>
  <c r="EI20" i="23" s="1"/>
  <c r="EJ19" i="23"/>
  <c r="EE19" i="23"/>
  <c r="EF19" i="23" s="1"/>
  <c r="EG19" i="23" s="1"/>
  <c r="EH19" i="23" s="1"/>
  <c r="EJ18" i="23"/>
  <c r="EE18" i="23"/>
  <c r="EF18" i="23" s="1"/>
  <c r="EG18" i="23" s="1"/>
  <c r="EH18" i="23" s="1"/>
  <c r="EI18" i="23" s="1"/>
  <c r="EJ17" i="23"/>
  <c r="EE17" i="23"/>
  <c r="EF17" i="23" s="1"/>
  <c r="EG17" i="23" s="1"/>
  <c r="EH17" i="23" s="1"/>
  <c r="EJ16" i="23"/>
  <c r="EE16" i="23"/>
  <c r="EF16" i="23" s="1"/>
  <c r="EG16" i="23" s="1"/>
  <c r="EH16" i="23" s="1"/>
  <c r="EI16" i="23" s="1"/>
  <c r="EJ15" i="23"/>
  <c r="EE15" i="23"/>
  <c r="EF15" i="23" s="1"/>
  <c r="EG15" i="23" s="1"/>
  <c r="EH15" i="23" s="1"/>
  <c r="EJ14" i="23"/>
  <c r="EE14" i="23"/>
  <c r="EF14" i="23" s="1"/>
  <c r="EG14" i="23" s="1"/>
  <c r="EH14" i="23" s="1"/>
  <c r="EI14" i="23" s="1"/>
  <c r="EJ13" i="23"/>
  <c r="EE13" i="23"/>
  <c r="EF13" i="23" s="1"/>
  <c r="EG13" i="23" s="1"/>
  <c r="EH13" i="23" s="1"/>
  <c r="EJ12" i="23"/>
  <c r="EE12" i="23"/>
  <c r="EF12" i="23" s="1"/>
  <c r="EG12" i="23" s="1"/>
  <c r="EH12" i="23" s="1"/>
  <c r="EI12" i="23" s="1"/>
  <c r="EJ11" i="23"/>
  <c r="EE11" i="23"/>
  <c r="EF11" i="23" s="1"/>
  <c r="EG11" i="23" s="1"/>
  <c r="EH11" i="23" s="1"/>
  <c r="EJ10" i="23"/>
  <c r="EE10" i="23"/>
  <c r="EF10" i="23" s="1"/>
  <c r="EG10" i="23" s="1"/>
  <c r="EH10" i="23" s="1"/>
  <c r="EI10" i="23" s="1"/>
  <c r="EJ9" i="23"/>
  <c r="EE9" i="23"/>
  <c r="EF9" i="23" s="1"/>
  <c r="EG9" i="23" s="1"/>
  <c r="EH9" i="23" s="1"/>
  <c r="EJ8" i="23"/>
  <c r="EE8" i="23"/>
  <c r="EF8" i="23" s="1"/>
  <c r="EG8" i="23" s="1"/>
  <c r="EH8" i="23" s="1"/>
  <c r="EI8" i="23" s="1"/>
  <c r="AJ35" i="22"/>
  <c r="AG35" i="22"/>
  <c r="AD35" i="22"/>
  <c r="AA35" i="22"/>
  <c r="X35" i="22"/>
  <c r="U35" i="22"/>
  <c r="R35" i="22"/>
  <c r="O35" i="22"/>
  <c r="L35" i="22"/>
  <c r="I35" i="22"/>
  <c r="F35" i="22"/>
  <c r="AJ34" i="22"/>
  <c r="AG34" i="22"/>
  <c r="AD34" i="22"/>
  <c r="AA34" i="22"/>
  <c r="X34" i="22"/>
  <c r="U34" i="22"/>
  <c r="R34" i="22"/>
  <c r="O34" i="22"/>
  <c r="L34" i="22"/>
  <c r="I34" i="22"/>
  <c r="F34" i="22"/>
  <c r="AJ33" i="22"/>
  <c r="AG33" i="22"/>
  <c r="AD33" i="22"/>
  <c r="AA33" i="22"/>
  <c r="X33" i="22"/>
  <c r="U33" i="22"/>
  <c r="R33" i="22"/>
  <c r="O33" i="22"/>
  <c r="L33" i="22"/>
  <c r="I33" i="22"/>
  <c r="F33" i="22"/>
  <c r="AJ32" i="22"/>
  <c r="AG32" i="22"/>
  <c r="AD32" i="22"/>
  <c r="AA32" i="22"/>
  <c r="X32" i="22"/>
  <c r="U32" i="22"/>
  <c r="R32" i="22"/>
  <c r="O32" i="22"/>
  <c r="L32" i="22"/>
  <c r="I32" i="22"/>
  <c r="F32" i="22"/>
  <c r="AJ31" i="22"/>
  <c r="AG31" i="22"/>
  <c r="AD31" i="22"/>
  <c r="AA31" i="22"/>
  <c r="X31" i="22"/>
  <c r="U31" i="22"/>
  <c r="R31" i="22"/>
  <c r="O31" i="22"/>
  <c r="L31" i="22"/>
  <c r="I31" i="22"/>
  <c r="F31" i="22"/>
  <c r="AJ30" i="22"/>
  <c r="AG30" i="22"/>
  <c r="AD30" i="22"/>
  <c r="AA30" i="22"/>
  <c r="X30" i="22"/>
  <c r="U30" i="22"/>
  <c r="R30" i="22"/>
  <c r="O30" i="22"/>
  <c r="L30" i="22"/>
  <c r="I30" i="22"/>
  <c r="F30" i="22"/>
  <c r="AJ29" i="22"/>
  <c r="AG29" i="22"/>
  <c r="AD29" i="22"/>
  <c r="AA29" i="22"/>
  <c r="X29" i="22"/>
  <c r="U29" i="22"/>
  <c r="R29" i="22"/>
  <c r="O29" i="22"/>
  <c r="L29" i="22"/>
  <c r="I29" i="22"/>
  <c r="F29" i="22"/>
  <c r="AJ27" i="22"/>
  <c r="AG27" i="22"/>
  <c r="AD27" i="22"/>
  <c r="AA27" i="22"/>
  <c r="X27" i="22"/>
  <c r="U27" i="22"/>
  <c r="R27" i="22"/>
  <c r="O27" i="22"/>
  <c r="L27" i="22"/>
  <c r="I27" i="22"/>
  <c r="F27" i="22"/>
  <c r="AJ26" i="22"/>
  <c r="AG26" i="22"/>
  <c r="AD26" i="22"/>
  <c r="AA26" i="22"/>
  <c r="X26" i="22"/>
  <c r="U26" i="22"/>
  <c r="R26" i="22"/>
  <c r="O26" i="22"/>
  <c r="L26" i="22"/>
  <c r="I26" i="22"/>
  <c r="F26" i="22"/>
  <c r="AJ24" i="22"/>
  <c r="AG24" i="22"/>
  <c r="AD24" i="22"/>
  <c r="AA24" i="22"/>
  <c r="X24" i="22"/>
  <c r="U24" i="22"/>
  <c r="R24" i="22"/>
  <c r="O24" i="22"/>
  <c r="L24" i="22"/>
  <c r="I24" i="22"/>
  <c r="F24" i="22"/>
  <c r="AJ23" i="22"/>
  <c r="AG23" i="22"/>
  <c r="AD23" i="22"/>
  <c r="AA23" i="22"/>
  <c r="X23" i="22"/>
  <c r="U23" i="22"/>
  <c r="R23" i="22"/>
  <c r="O23" i="22"/>
  <c r="L23" i="22"/>
  <c r="I23" i="22"/>
  <c r="F23" i="22"/>
  <c r="AJ22" i="22"/>
  <c r="AG22" i="22"/>
  <c r="AD22" i="22"/>
  <c r="AA22" i="22"/>
  <c r="X22" i="22"/>
  <c r="U22" i="22"/>
  <c r="R22" i="22"/>
  <c r="O22" i="22"/>
  <c r="L22" i="22"/>
  <c r="I22" i="22"/>
  <c r="AJ21" i="22"/>
  <c r="AG21" i="22"/>
  <c r="AD21" i="22"/>
  <c r="AA21" i="22"/>
  <c r="X21" i="22"/>
  <c r="U21" i="22"/>
  <c r="R21" i="22"/>
  <c r="O21" i="22"/>
  <c r="L21" i="22"/>
  <c r="I21" i="22"/>
  <c r="AJ19" i="22"/>
  <c r="AG19" i="22"/>
  <c r="AD19" i="22"/>
  <c r="AA19" i="22"/>
  <c r="X19" i="22"/>
  <c r="U19" i="22"/>
  <c r="R19" i="22"/>
  <c r="O19" i="22"/>
  <c r="L19" i="22"/>
  <c r="I19" i="22"/>
  <c r="F19" i="22"/>
  <c r="AJ18" i="22"/>
  <c r="AG18" i="22"/>
  <c r="AD18" i="22"/>
  <c r="AA18" i="22"/>
  <c r="X18" i="22"/>
  <c r="U18" i="22"/>
  <c r="R18" i="22"/>
  <c r="O18" i="22"/>
  <c r="L18" i="22"/>
  <c r="I18" i="22"/>
  <c r="F18" i="22"/>
  <c r="AJ17" i="22"/>
  <c r="AG17" i="22"/>
  <c r="AD17" i="22"/>
  <c r="AA17" i="22"/>
  <c r="X17" i="22"/>
  <c r="U17" i="22"/>
  <c r="R17" i="22"/>
  <c r="O17" i="22"/>
  <c r="L17" i="22"/>
  <c r="I17" i="22"/>
  <c r="F17" i="22"/>
  <c r="AJ16" i="22"/>
  <c r="AG16" i="22"/>
  <c r="AD16" i="22"/>
  <c r="AA16" i="22"/>
  <c r="X16" i="22"/>
  <c r="U16" i="22"/>
  <c r="R16" i="22"/>
  <c r="O16" i="22"/>
  <c r="L16" i="22"/>
  <c r="I16" i="22"/>
  <c r="F16" i="22"/>
  <c r="AJ15" i="22"/>
  <c r="AG15" i="22"/>
  <c r="AD15" i="22"/>
  <c r="AA15" i="22"/>
  <c r="X15" i="22"/>
  <c r="U15" i="22"/>
  <c r="R15" i="22"/>
  <c r="O15" i="22"/>
  <c r="L15" i="22"/>
  <c r="I15" i="22"/>
  <c r="F15" i="22"/>
  <c r="AJ14" i="22"/>
  <c r="AG14" i="22"/>
  <c r="AD14" i="22"/>
  <c r="AA14" i="22"/>
  <c r="X14" i="22"/>
  <c r="U14" i="22"/>
  <c r="R14" i="22"/>
  <c r="O14" i="22"/>
  <c r="L14" i="22"/>
  <c r="I14" i="22"/>
  <c r="F14" i="22"/>
  <c r="AJ13" i="22"/>
  <c r="AG13" i="22"/>
  <c r="AD13" i="22"/>
  <c r="AA13" i="22"/>
  <c r="X13" i="22"/>
  <c r="U13" i="22"/>
  <c r="R13" i="22"/>
  <c r="O13" i="22"/>
  <c r="L13" i="22"/>
  <c r="I13" i="22"/>
  <c r="F13" i="22"/>
  <c r="AJ12" i="22"/>
  <c r="AG12" i="22"/>
  <c r="AD12" i="22"/>
  <c r="AA12" i="22"/>
  <c r="X12" i="22"/>
  <c r="U12" i="22"/>
  <c r="R12" i="22"/>
  <c r="O12" i="22"/>
  <c r="L12" i="22"/>
  <c r="I12" i="22"/>
  <c r="F12" i="22"/>
  <c r="AJ11" i="22"/>
  <c r="AG11" i="22"/>
  <c r="AD11" i="22"/>
  <c r="AA11" i="22"/>
  <c r="X11" i="22"/>
  <c r="U11" i="22"/>
  <c r="R11" i="22"/>
  <c r="O11" i="22"/>
  <c r="L11" i="22"/>
  <c r="I11" i="22"/>
  <c r="F11" i="22"/>
  <c r="AJ10" i="22"/>
  <c r="AG10" i="22"/>
  <c r="AD10" i="22"/>
  <c r="AA10" i="22"/>
  <c r="X10" i="22"/>
  <c r="U10" i="22"/>
  <c r="R10" i="22"/>
  <c r="O10" i="22"/>
  <c r="L10" i="22"/>
  <c r="I10" i="22"/>
  <c r="F10" i="22"/>
  <c r="AJ9" i="22"/>
  <c r="AG9" i="22"/>
  <c r="AD9" i="22"/>
  <c r="AA9" i="22"/>
  <c r="X9" i="22"/>
  <c r="U9" i="22"/>
  <c r="R9" i="22"/>
  <c r="O9" i="22"/>
  <c r="L9" i="22"/>
  <c r="I9" i="22"/>
  <c r="F9" i="22"/>
  <c r="AJ8" i="22"/>
  <c r="AG8" i="22"/>
  <c r="AD8" i="22"/>
  <c r="AA8" i="22"/>
  <c r="X8" i="22"/>
  <c r="U8" i="22"/>
  <c r="R8" i="22"/>
  <c r="O8" i="22"/>
  <c r="L8" i="22"/>
  <c r="I8" i="22"/>
  <c r="F8" i="22"/>
  <c r="AJ7" i="22"/>
  <c r="AG7" i="22"/>
  <c r="AD7" i="22"/>
  <c r="AA7" i="22"/>
  <c r="X7" i="22"/>
  <c r="U7" i="22"/>
  <c r="R7" i="22"/>
  <c r="O7" i="22"/>
  <c r="L7" i="22"/>
  <c r="I7" i="22"/>
  <c r="F7" i="22"/>
  <c r="AJ6" i="22"/>
  <c r="AG6" i="22"/>
  <c r="AD6" i="22"/>
  <c r="AA6" i="22"/>
  <c r="X6" i="22"/>
  <c r="U6" i="22"/>
  <c r="R6" i="22"/>
  <c r="O6" i="22"/>
  <c r="L6" i="22"/>
  <c r="I6" i="22"/>
  <c r="F6" i="22"/>
  <c r="AJ5" i="22"/>
  <c r="AG5" i="22"/>
  <c r="AD5" i="22"/>
  <c r="AA5" i="22"/>
  <c r="X5" i="22"/>
  <c r="U5" i="22"/>
  <c r="R5" i="22"/>
  <c r="O5" i="22"/>
  <c r="L5" i="22"/>
  <c r="I5" i="22"/>
  <c r="F5" i="22"/>
  <c r="AJ4" i="22"/>
  <c r="AG4" i="22"/>
  <c r="AD4" i="22"/>
  <c r="AA4" i="22"/>
  <c r="X4" i="22"/>
  <c r="U4" i="22"/>
  <c r="R4" i="22"/>
  <c r="O4" i="22"/>
  <c r="L4" i="22"/>
  <c r="I4" i="22"/>
  <c r="F4" i="22"/>
  <c r="AG3" i="22"/>
  <c r="AD3" i="22"/>
  <c r="AA3" i="22"/>
  <c r="X3" i="22"/>
  <c r="U3" i="22"/>
  <c r="R3" i="22"/>
  <c r="O3" i="22"/>
  <c r="L3" i="22"/>
  <c r="I3" i="22"/>
  <c r="F3" i="22"/>
  <c r="D45" i="21"/>
  <c r="E45" i="21" s="1"/>
  <c r="G45" i="21" s="1"/>
  <c r="H45" i="21" s="1"/>
  <c r="J45" i="21" s="1"/>
  <c r="D44" i="21"/>
  <c r="E44" i="21" s="1"/>
  <c r="G44" i="21" s="1"/>
  <c r="H44" i="21" s="1"/>
  <c r="J44" i="21" s="1"/>
  <c r="D43" i="21"/>
  <c r="E43" i="21" s="1"/>
  <c r="G43" i="21" s="1"/>
  <c r="H43" i="21" s="1"/>
  <c r="J43" i="21" s="1"/>
  <c r="D42" i="21"/>
  <c r="E42" i="21" s="1"/>
  <c r="F42" i="21" s="1"/>
  <c r="G42" i="21" s="1"/>
  <c r="H42" i="21" s="1"/>
  <c r="J42" i="21" s="1"/>
  <c r="E41" i="21"/>
  <c r="F41" i="21" s="1"/>
  <c r="G41" i="21" s="1"/>
  <c r="H41" i="21" s="1"/>
  <c r="J41" i="21" s="1"/>
  <c r="F40" i="21"/>
  <c r="G40" i="21" s="1"/>
  <c r="H40" i="21" s="1"/>
  <c r="J40" i="21" s="1"/>
  <c r="F39" i="21"/>
  <c r="G39" i="21" s="1"/>
  <c r="H39" i="21" s="1"/>
  <c r="H37" i="21"/>
  <c r="J37" i="21" s="1"/>
  <c r="D37" i="21"/>
  <c r="E37" i="21" s="1"/>
  <c r="F37" i="21" s="1"/>
  <c r="D36" i="21"/>
  <c r="E36" i="21" s="1"/>
  <c r="F36" i="21" s="1"/>
  <c r="G36" i="21" s="1"/>
  <c r="H36" i="21" s="1"/>
  <c r="J36" i="21" s="1"/>
  <c r="D35" i="21"/>
  <c r="E35" i="21" s="1"/>
  <c r="G35" i="21" s="1"/>
  <c r="H35" i="21" s="1"/>
  <c r="J35" i="21" s="1"/>
  <c r="D34" i="21"/>
  <c r="E34" i="21" s="1"/>
  <c r="G34" i="21" s="1"/>
  <c r="H34" i="21" s="1"/>
  <c r="J34" i="21" s="1"/>
  <c r="D33" i="21"/>
  <c r="E33" i="21" s="1"/>
  <c r="G33" i="21" s="1"/>
  <c r="H33" i="21" s="1"/>
  <c r="J33" i="21" s="1"/>
  <c r="D32" i="21"/>
  <c r="E32" i="21" s="1"/>
  <c r="G32" i="21" s="1"/>
  <c r="H32" i="21" s="1"/>
  <c r="D31" i="21"/>
  <c r="E31" i="21" s="1"/>
  <c r="F31" i="21" s="1"/>
  <c r="D29" i="21"/>
  <c r="E29" i="21" s="1"/>
  <c r="F29" i="21" s="1"/>
  <c r="G29" i="21" s="1"/>
  <c r="H29" i="21" s="1"/>
  <c r="J29" i="21" s="1"/>
  <c r="D28" i="21"/>
  <c r="E28" i="21" s="1"/>
  <c r="G28" i="21" s="1"/>
  <c r="H28" i="21" s="1"/>
  <c r="J28" i="21" s="1"/>
  <c r="D27" i="21"/>
  <c r="E27" i="21" s="1"/>
  <c r="G27" i="21" s="1"/>
  <c r="H27" i="21" s="1"/>
  <c r="J27" i="21" s="1"/>
  <c r="D26" i="21"/>
  <c r="E26" i="21" s="1"/>
  <c r="G26" i="21" s="1"/>
  <c r="H26" i="21" s="1"/>
  <c r="J26" i="21" s="1"/>
  <c r="D25" i="21"/>
  <c r="E25" i="21" s="1"/>
  <c r="F25" i="21" s="1"/>
  <c r="G25" i="21" s="1"/>
  <c r="H25" i="21" s="1"/>
  <c r="J25" i="21" s="1"/>
  <c r="D24" i="21"/>
  <c r="E24" i="21" s="1"/>
  <c r="G24" i="21" s="1"/>
  <c r="H24" i="21" s="1"/>
  <c r="J24" i="21" s="1"/>
  <c r="D23" i="21"/>
  <c r="E23" i="21" s="1"/>
  <c r="G23" i="21" s="1"/>
  <c r="H23" i="21" s="1"/>
  <c r="J23" i="21" s="1"/>
  <c r="D22" i="21"/>
  <c r="E22" i="21" s="1"/>
  <c r="G22" i="21" s="1"/>
  <c r="H22" i="21" s="1"/>
  <c r="J22" i="21" s="1"/>
  <c r="D21" i="21"/>
  <c r="E21" i="21" s="1"/>
  <c r="F21" i="21" s="1"/>
  <c r="G21" i="21" s="1"/>
  <c r="H21" i="21" s="1"/>
  <c r="J21" i="21" s="1"/>
  <c r="D20" i="21"/>
  <c r="E20" i="21" s="1"/>
  <c r="F20" i="21" s="1"/>
  <c r="D19" i="21"/>
  <c r="E19" i="21" s="1"/>
  <c r="G19" i="21" s="1"/>
  <c r="H19" i="21" s="1"/>
  <c r="J19" i="21" s="1"/>
  <c r="E18" i="21"/>
  <c r="F18" i="21" s="1"/>
  <c r="G18" i="21" s="1"/>
  <c r="H18" i="21" s="1"/>
  <c r="J18" i="21" s="1"/>
  <c r="E17" i="21"/>
  <c r="G17" i="21" s="1"/>
  <c r="H17" i="21" s="1"/>
  <c r="J17" i="21" s="1"/>
  <c r="E16" i="21"/>
  <c r="F16" i="21" s="1"/>
  <c r="G16" i="21" s="1"/>
  <c r="H16" i="21" s="1"/>
  <c r="J16" i="21" s="1"/>
  <c r="E15" i="21"/>
  <c r="F15" i="21" s="1"/>
  <c r="G15" i="21" s="1"/>
  <c r="H15" i="21" s="1"/>
  <c r="J15" i="21" s="1"/>
  <c r="E14" i="21"/>
  <c r="F14" i="21" s="1"/>
  <c r="G14" i="21" s="1"/>
  <c r="H14" i="21" s="1"/>
  <c r="J14" i="21" s="1"/>
  <c r="K13" i="21"/>
  <c r="D13" i="21"/>
  <c r="E13" i="21" s="1"/>
  <c r="F13" i="21" s="1"/>
  <c r="I11" i="21"/>
  <c r="C11" i="21"/>
  <c r="I38" i="20"/>
  <c r="I37" i="20"/>
  <c r="I36" i="20"/>
  <c r="H35" i="20"/>
  <c r="G35" i="20"/>
  <c r="I35" i="20" s="1"/>
  <c r="D35" i="20"/>
  <c r="C35" i="20"/>
  <c r="I34" i="20"/>
  <c r="K34" i="20" s="1"/>
  <c r="E34" i="20"/>
  <c r="I33" i="20"/>
  <c r="K33" i="20" s="1"/>
  <c r="E33" i="20"/>
  <c r="I32" i="20"/>
  <c r="K32" i="20" s="1"/>
  <c r="E32" i="20"/>
  <c r="I31" i="20"/>
  <c r="K31" i="20" s="1"/>
  <c r="E31" i="20"/>
  <c r="I30" i="20"/>
  <c r="K30" i="20" s="1"/>
  <c r="E30" i="20"/>
  <c r="I29" i="20"/>
  <c r="K29" i="20" s="1"/>
  <c r="E29" i="20"/>
  <c r="I28" i="20"/>
  <c r="K28" i="20" s="1"/>
  <c r="E28" i="20"/>
  <c r="I27" i="20"/>
  <c r="K27" i="20" s="1"/>
  <c r="E27" i="20"/>
  <c r="I26" i="20"/>
  <c r="K26" i="20" s="1"/>
  <c r="E26" i="20"/>
  <c r="I25" i="20"/>
  <c r="K25" i="20" s="1"/>
  <c r="E25" i="20"/>
  <c r="I24" i="20"/>
  <c r="K24" i="20" s="1"/>
  <c r="E24" i="20"/>
  <c r="I23" i="20"/>
  <c r="K23" i="20" s="1"/>
  <c r="E23" i="20"/>
  <c r="I22" i="20"/>
  <c r="E22" i="20"/>
  <c r="I21" i="20"/>
  <c r="K21" i="20" s="1"/>
  <c r="E21" i="20"/>
  <c r="I20" i="20"/>
  <c r="K20" i="20" s="1"/>
  <c r="E20" i="20"/>
  <c r="I19" i="20"/>
  <c r="K19" i="20" s="1"/>
  <c r="E19" i="20"/>
  <c r="I18" i="20"/>
  <c r="K18" i="20" s="1"/>
  <c r="E18" i="20"/>
  <c r="I17" i="20"/>
  <c r="K17" i="20" s="1"/>
  <c r="E17" i="20"/>
  <c r="I16" i="20"/>
  <c r="K16" i="20" s="1"/>
  <c r="E16" i="20"/>
  <c r="I15" i="20"/>
  <c r="K15" i="20" s="1"/>
  <c r="E15" i="20"/>
  <c r="I14" i="20"/>
  <c r="K14" i="20" s="1"/>
  <c r="E14" i="20"/>
  <c r="I13" i="20"/>
  <c r="K13" i="20" s="1"/>
  <c r="E13" i="20"/>
  <c r="I12" i="20"/>
  <c r="E12" i="20"/>
  <c r="I11" i="20"/>
  <c r="K11" i="20" s="1"/>
  <c r="E11" i="20"/>
  <c r="I10" i="20"/>
  <c r="K10" i="20" s="1"/>
  <c r="E10" i="20"/>
  <c r="I9" i="20"/>
  <c r="K9" i="20" s="1"/>
  <c r="E9" i="20"/>
  <c r="I8" i="20"/>
  <c r="K8" i="20" s="1"/>
  <c r="E8" i="20"/>
  <c r="I7" i="20"/>
  <c r="K7" i="20" s="1"/>
  <c r="E7" i="20"/>
  <c r="I6" i="20"/>
  <c r="K6" i="20" s="1"/>
  <c r="E6" i="20"/>
  <c r="I5" i="20"/>
  <c r="K5" i="20" s="1"/>
  <c r="E5" i="20"/>
  <c r="F62" i="19"/>
  <c r="G62" i="19" s="1"/>
  <c r="E62" i="19"/>
  <c r="G61" i="19"/>
  <c r="H61" i="19" s="1"/>
  <c r="I61" i="19" s="1"/>
  <c r="J61" i="19" s="1"/>
  <c r="G59" i="19"/>
  <c r="H59" i="19" s="1"/>
  <c r="I59" i="19" s="1"/>
  <c r="J59" i="19" s="1"/>
  <c r="G57" i="19"/>
  <c r="H57" i="19" s="1"/>
  <c r="I57" i="19" s="1"/>
  <c r="J57" i="19" s="1"/>
  <c r="G55" i="19"/>
  <c r="H55" i="19" s="1"/>
  <c r="I55" i="19" s="1"/>
  <c r="J55" i="19" s="1"/>
  <c r="G54" i="19"/>
  <c r="H54" i="19" s="1"/>
  <c r="I54" i="19" s="1"/>
  <c r="J54" i="19" s="1"/>
  <c r="G52" i="19"/>
  <c r="H52" i="19" s="1"/>
  <c r="I52" i="19" s="1"/>
  <c r="J52" i="19" s="1"/>
  <c r="G51" i="19"/>
  <c r="H51" i="19" s="1"/>
  <c r="I51" i="19" s="1"/>
  <c r="J51" i="19" s="1"/>
  <c r="G49" i="19"/>
  <c r="H49" i="19" s="1"/>
  <c r="I49" i="19" s="1"/>
  <c r="J49" i="19" s="1"/>
  <c r="G47" i="19"/>
  <c r="H47" i="19" s="1"/>
  <c r="I47" i="19" s="1"/>
  <c r="J47" i="19" s="1"/>
  <c r="G45" i="19"/>
  <c r="H45" i="19" s="1"/>
  <c r="I45" i="19" s="1"/>
  <c r="J45" i="19" s="1"/>
  <c r="G43" i="19"/>
  <c r="H43" i="19" s="1"/>
  <c r="I43" i="19" s="1"/>
  <c r="J43" i="19" s="1"/>
  <c r="G41" i="19"/>
  <c r="H41" i="19" s="1"/>
  <c r="I41" i="19" s="1"/>
  <c r="J41" i="19" s="1"/>
  <c r="G39" i="19"/>
  <c r="H39" i="19" s="1"/>
  <c r="I39" i="19" s="1"/>
  <c r="J39" i="19" s="1"/>
  <c r="G37" i="19"/>
  <c r="H37" i="19" s="1"/>
  <c r="I37" i="19" s="1"/>
  <c r="J37" i="19" s="1"/>
  <c r="G35" i="19"/>
  <c r="H35" i="19" s="1"/>
  <c r="I35" i="19" s="1"/>
  <c r="J35" i="19" s="1"/>
  <c r="G34" i="19"/>
  <c r="H34" i="19" s="1"/>
  <c r="I34" i="19" s="1"/>
  <c r="J34" i="19" s="1"/>
  <c r="G33" i="19"/>
  <c r="H33" i="19" s="1"/>
  <c r="I33" i="19" s="1"/>
  <c r="J33" i="19" s="1"/>
  <c r="G31" i="19"/>
  <c r="H31" i="19" s="1"/>
  <c r="I31" i="19" s="1"/>
  <c r="J31" i="19" s="1"/>
  <c r="G29" i="19"/>
  <c r="H29" i="19" s="1"/>
  <c r="I29" i="19" s="1"/>
  <c r="J29" i="19" s="1"/>
  <c r="G27" i="19"/>
  <c r="H27" i="19" s="1"/>
  <c r="I27" i="19" s="1"/>
  <c r="J27" i="19" s="1"/>
  <c r="G25" i="19"/>
  <c r="H25" i="19" s="1"/>
  <c r="I25" i="19" s="1"/>
  <c r="J25" i="19" s="1"/>
  <c r="G23" i="19"/>
  <c r="H23" i="19" s="1"/>
  <c r="I23" i="19" s="1"/>
  <c r="J23" i="19" s="1"/>
  <c r="G21" i="19"/>
  <c r="H21" i="19" s="1"/>
  <c r="I21" i="19" s="1"/>
  <c r="J21" i="19" s="1"/>
  <c r="G19" i="19"/>
  <c r="H19" i="19" s="1"/>
  <c r="I19" i="19" s="1"/>
  <c r="J19" i="19" s="1"/>
  <c r="G18" i="19"/>
  <c r="H18" i="19" s="1"/>
  <c r="I18" i="19" s="1"/>
  <c r="J18" i="19" s="1"/>
  <c r="G16" i="19"/>
  <c r="H16" i="19" s="1"/>
  <c r="I16" i="19" s="1"/>
  <c r="J16" i="19" s="1"/>
  <c r="G15" i="19"/>
  <c r="H15" i="19" s="1"/>
  <c r="I15" i="19" s="1"/>
  <c r="J15" i="19" s="1"/>
  <c r="G14" i="19"/>
  <c r="H14" i="19" s="1"/>
  <c r="I14" i="19" s="1"/>
  <c r="J14" i="19" s="1"/>
  <c r="G13" i="19"/>
  <c r="H13" i="19" s="1"/>
  <c r="I13" i="19" s="1"/>
  <c r="J13" i="19" s="1"/>
  <c r="G12" i="19"/>
  <c r="H12" i="19" s="1"/>
  <c r="I12" i="19" s="1"/>
  <c r="J12" i="19" s="1"/>
  <c r="G11" i="19"/>
  <c r="H11" i="19" s="1"/>
  <c r="I11" i="19" s="1"/>
  <c r="J11" i="19" s="1"/>
  <c r="G31" i="21" l="1"/>
  <c r="H31" i="21" s="1"/>
  <c r="J31" i="21" s="1"/>
  <c r="G20" i="21"/>
  <c r="H20" i="21" s="1"/>
  <c r="J20" i="21" s="1"/>
  <c r="J39" i="21"/>
  <c r="AM19" i="22"/>
  <c r="AN19" i="22"/>
  <c r="AM18" i="22"/>
  <c r="AN18" i="22"/>
  <c r="AM29" i="22"/>
  <c r="AN29" i="22"/>
  <c r="AM27" i="22"/>
  <c r="AN27" i="22"/>
  <c r="AM14" i="22"/>
  <c r="AN14" i="22"/>
  <c r="AM8" i="22"/>
  <c r="AN8" i="22"/>
  <c r="AM33" i="22"/>
  <c r="AN33" i="22"/>
  <c r="AM13" i="22"/>
  <c r="AN13" i="22"/>
  <c r="AM10" i="22"/>
  <c r="AN10" i="22"/>
  <c r="AM35" i="22"/>
  <c r="AN35" i="22"/>
  <c r="EI36" i="23"/>
  <c r="I7" i="21"/>
  <c r="G13" i="21"/>
  <c r="H13" i="21" s="1"/>
  <c r="E35" i="20"/>
  <c r="H62" i="19"/>
  <c r="I62" i="19" s="1"/>
  <c r="J62" i="19" s="1"/>
  <c r="EI22" i="23"/>
  <c r="EI29" i="23"/>
  <c r="EI9" i="23"/>
  <c r="EI15" i="23"/>
  <c r="EI28" i="23"/>
  <c r="EI21" i="23"/>
  <c r="EI11" i="23"/>
  <c r="EI17" i="23"/>
  <c r="EI23" i="23"/>
  <c r="EI31" i="23"/>
  <c r="EI38" i="23"/>
  <c r="EI13" i="23"/>
  <c r="EI19" i="23"/>
  <c r="EI26" i="23"/>
  <c r="EI34" i="23"/>
  <c r="EI40" i="23"/>
  <c r="D11" i="21"/>
  <c r="J13" i="21" l="1"/>
  <c r="H11" i="21"/>
  <c r="F41" i="10"/>
  <c r="G41" i="10" s="1"/>
  <c r="F40" i="10"/>
  <c r="G40" i="10" s="1"/>
  <c r="F39" i="10"/>
  <c r="G39" i="10" s="1"/>
  <c r="F38" i="10"/>
  <c r="G38" i="10" s="1"/>
  <c r="F37" i="10"/>
  <c r="G37" i="10" s="1"/>
  <c r="F36" i="10"/>
  <c r="G36" i="10" s="1"/>
  <c r="F35" i="10"/>
  <c r="G35" i="10" s="1"/>
  <c r="F33" i="10"/>
  <c r="G33" i="10" s="1"/>
  <c r="F32" i="10"/>
  <c r="G32" i="10" s="1"/>
  <c r="F31" i="10"/>
  <c r="G31" i="10" s="1"/>
  <c r="F30" i="10"/>
  <c r="G30" i="10" s="1"/>
  <c r="F29" i="10"/>
  <c r="G29" i="10" s="1"/>
  <c r="F28" i="10"/>
  <c r="G28" i="10" s="1"/>
  <c r="F27" i="10"/>
  <c r="G27" i="10" s="1"/>
  <c r="F10" i="10"/>
  <c r="G10" i="10" s="1"/>
  <c r="F11" i="10"/>
  <c r="G11" i="10" s="1"/>
  <c r="F12" i="10"/>
  <c r="G12" i="10" s="1"/>
  <c r="F13" i="10"/>
  <c r="G13" i="10" s="1"/>
  <c r="F14" i="10"/>
  <c r="G14" i="10" s="1"/>
  <c r="F15" i="10"/>
  <c r="G15" i="10" s="1"/>
  <c r="F16" i="10"/>
  <c r="G16" i="10" s="1"/>
  <c r="F17" i="10"/>
  <c r="G17" i="10" s="1"/>
  <c r="F18" i="10"/>
  <c r="G18" i="10" s="1"/>
  <c r="F19" i="10"/>
  <c r="G19" i="10" s="1"/>
  <c r="F20" i="10"/>
  <c r="G20" i="10" s="1"/>
  <c r="F21" i="10"/>
  <c r="G21" i="10" s="1"/>
  <c r="F22" i="10"/>
  <c r="G22" i="10" s="1"/>
  <c r="F23" i="10"/>
  <c r="G23" i="10" s="1"/>
  <c r="F24" i="10"/>
  <c r="G24" i="10" s="1"/>
  <c r="F25" i="10"/>
  <c r="G25" i="10" s="1"/>
  <c r="F9" i="10"/>
  <c r="G9" i="10" s="1"/>
  <c r="EF31" i="9"/>
  <c r="EG31" i="9" s="1"/>
  <c r="EE36" i="9"/>
  <c r="EF36" i="9" s="1"/>
  <c r="EE37" i="9"/>
  <c r="EF37" i="9" s="1"/>
  <c r="EE38" i="9"/>
  <c r="EF38" i="9" s="1"/>
  <c r="EE39" i="9"/>
  <c r="EF39" i="9" s="1"/>
  <c r="EE40" i="9"/>
  <c r="EF40" i="9" s="1"/>
  <c r="EE41" i="9"/>
  <c r="EF41" i="9" s="1"/>
  <c r="EE35" i="9"/>
  <c r="EE28" i="9"/>
  <c r="EF28" i="9" s="1"/>
  <c r="EG28" i="9" s="1"/>
  <c r="EE29" i="9"/>
  <c r="EF29" i="9" s="1"/>
  <c r="EG29" i="9" s="1"/>
  <c r="EE30" i="9"/>
  <c r="EF30" i="9" s="1"/>
  <c r="EG30" i="9" s="1"/>
  <c r="EE32" i="9"/>
  <c r="EF32" i="9" s="1"/>
  <c r="EG32" i="9" s="1"/>
  <c r="EE33" i="9"/>
  <c r="EF33" i="9" s="1"/>
  <c r="EG33" i="9" s="1"/>
  <c r="EE27" i="9"/>
  <c r="EF27" i="9" s="1"/>
  <c r="EG27" i="9" s="1"/>
  <c r="EE10" i="9"/>
  <c r="EF10" i="9" s="1"/>
  <c r="EG10" i="9" s="1"/>
  <c r="EE11" i="9"/>
  <c r="EF11" i="9" s="1"/>
  <c r="EG11" i="9" s="1"/>
  <c r="EE12" i="9"/>
  <c r="EF12" i="9" s="1"/>
  <c r="EG12" i="9" s="1"/>
  <c r="EE13" i="9"/>
  <c r="EF13" i="9" s="1"/>
  <c r="EG13" i="9" s="1"/>
  <c r="EE14" i="9"/>
  <c r="EF14" i="9" s="1"/>
  <c r="EG14" i="9" s="1"/>
  <c r="EE15" i="9"/>
  <c r="EF15" i="9" s="1"/>
  <c r="EG15" i="9" s="1"/>
  <c r="EE16" i="9"/>
  <c r="EF16" i="9" s="1"/>
  <c r="EG16" i="9" s="1"/>
  <c r="EE17" i="9"/>
  <c r="EF17" i="9" s="1"/>
  <c r="EG17" i="9" s="1"/>
  <c r="EE18" i="9"/>
  <c r="EF18" i="9" s="1"/>
  <c r="EG18" i="9" s="1"/>
  <c r="EE19" i="9"/>
  <c r="EF19" i="9" s="1"/>
  <c r="EG19" i="9" s="1"/>
  <c r="EE20" i="9"/>
  <c r="EF20" i="9" s="1"/>
  <c r="EG20" i="9" s="1"/>
  <c r="EE21" i="9"/>
  <c r="EF21" i="9" s="1"/>
  <c r="EG21" i="9" s="1"/>
  <c r="EE22" i="9"/>
  <c r="EF22" i="9" s="1"/>
  <c r="EG22" i="9" s="1"/>
  <c r="EE23" i="9"/>
  <c r="EF23" i="9" s="1"/>
  <c r="EG23" i="9" s="1"/>
  <c r="EE24" i="9"/>
  <c r="EF24" i="9" s="1"/>
  <c r="EG24" i="9" s="1"/>
  <c r="EE25" i="9"/>
  <c r="EF25" i="9" s="1"/>
  <c r="EG25" i="9" s="1"/>
  <c r="EE9" i="9"/>
  <c r="EF9" i="9" s="1"/>
  <c r="EG9" i="9" s="1"/>
  <c r="EH9" i="9" s="1"/>
  <c r="DP36" i="8"/>
  <c r="DP37" i="8"/>
  <c r="DP38" i="8"/>
  <c r="DP39" i="8"/>
  <c r="DP40" i="8"/>
  <c r="DP41" i="8"/>
  <c r="DP35" i="8"/>
  <c r="DP28" i="8"/>
  <c r="DP29" i="8"/>
  <c r="DP30" i="8"/>
  <c r="DP31" i="8"/>
  <c r="DP32" i="8"/>
  <c r="DP33" i="8"/>
  <c r="DP27" i="8"/>
  <c r="DP10" i="8"/>
  <c r="DP11" i="8"/>
  <c r="DP12" i="8"/>
  <c r="DP13" i="8"/>
  <c r="DP14" i="8"/>
  <c r="DP15" i="8"/>
  <c r="DP16" i="8"/>
  <c r="DP17" i="8"/>
  <c r="DP18" i="8"/>
  <c r="DP19" i="8"/>
  <c r="DP20" i="8"/>
  <c r="DP21" i="8"/>
  <c r="DP22" i="8"/>
  <c r="DP23" i="8"/>
  <c r="DP24" i="8"/>
  <c r="DP25" i="8"/>
  <c r="DP9" i="8"/>
  <c r="DM24" i="8"/>
  <c r="DN24" i="8" s="1"/>
  <c r="DO24" i="8" s="1"/>
  <c r="DL38" i="8"/>
  <c r="DM38" i="8" s="1"/>
  <c r="DN38" i="8" s="1"/>
  <c r="DL41" i="8"/>
  <c r="DM41" i="8" s="1"/>
  <c r="DN41" i="8" s="1"/>
  <c r="DO41" i="8" s="1"/>
  <c r="DL21" i="8"/>
  <c r="DM21" i="8" s="1"/>
  <c r="DN21" i="8" s="1"/>
  <c r="DL22" i="8"/>
  <c r="DM22" i="8" s="1"/>
  <c r="DN22" i="8" s="1"/>
  <c r="DL24" i="8"/>
  <c r="DL25" i="8"/>
  <c r="DM25" i="8" s="1"/>
  <c r="DN25" i="8" s="1"/>
  <c r="DO25" i="8" s="1"/>
  <c r="DK36" i="8"/>
  <c r="DL36" i="8" s="1"/>
  <c r="DM36" i="8" s="1"/>
  <c r="DN36" i="8" s="1"/>
  <c r="DK37" i="8"/>
  <c r="DL37" i="8" s="1"/>
  <c r="DM37" i="8" s="1"/>
  <c r="DN37" i="8" s="1"/>
  <c r="DK38" i="8"/>
  <c r="DK39" i="8"/>
  <c r="DL39" i="8" s="1"/>
  <c r="DM39" i="8" s="1"/>
  <c r="DN39" i="8" s="1"/>
  <c r="DK40" i="8"/>
  <c r="DL40" i="8" s="1"/>
  <c r="DM40" i="8" s="1"/>
  <c r="DN40" i="8" s="1"/>
  <c r="DO40" i="8" s="1"/>
  <c r="DK41" i="8"/>
  <c r="DK35" i="8"/>
  <c r="DK28" i="8"/>
  <c r="DL28" i="8" s="1"/>
  <c r="DM28" i="8" s="1"/>
  <c r="DN28" i="8" s="1"/>
  <c r="DK29" i="8"/>
  <c r="DL29" i="8" s="1"/>
  <c r="DM29" i="8" s="1"/>
  <c r="DN29" i="8" s="1"/>
  <c r="DK30" i="8"/>
  <c r="DL30" i="8" s="1"/>
  <c r="DM30" i="8" s="1"/>
  <c r="DN30" i="8" s="1"/>
  <c r="DK31" i="8"/>
  <c r="DL31" i="8" s="1"/>
  <c r="DM31" i="8" s="1"/>
  <c r="DN31" i="8" s="1"/>
  <c r="DK32" i="8"/>
  <c r="DL32" i="8" s="1"/>
  <c r="DM32" i="8" s="1"/>
  <c r="DN32" i="8" s="1"/>
  <c r="DO32" i="8" s="1"/>
  <c r="DK33" i="8"/>
  <c r="DL33" i="8" s="1"/>
  <c r="DM33" i="8" s="1"/>
  <c r="DN33" i="8" s="1"/>
  <c r="DK27" i="8"/>
  <c r="DL27" i="8" s="1"/>
  <c r="DM27" i="8" s="1"/>
  <c r="DN27" i="8" s="1"/>
  <c r="DO27" i="8" s="1"/>
  <c r="DK10" i="8"/>
  <c r="DL10" i="8" s="1"/>
  <c r="DM10" i="8" s="1"/>
  <c r="DN10" i="8" s="1"/>
  <c r="DK11" i="8"/>
  <c r="DL11" i="8" s="1"/>
  <c r="DM11" i="8" s="1"/>
  <c r="DN11" i="8" s="1"/>
  <c r="DK12" i="8"/>
  <c r="DL12" i="8" s="1"/>
  <c r="DM12" i="8" s="1"/>
  <c r="DN12" i="8" s="1"/>
  <c r="DO12" i="8" s="1"/>
  <c r="DK13" i="8"/>
  <c r="DL13" i="8" s="1"/>
  <c r="DM13" i="8" s="1"/>
  <c r="DN13" i="8" s="1"/>
  <c r="DO13" i="8" s="1"/>
  <c r="DK14" i="8"/>
  <c r="DL14" i="8" s="1"/>
  <c r="DM14" i="8" s="1"/>
  <c r="DN14" i="8" s="1"/>
  <c r="DK15" i="8"/>
  <c r="DL15" i="8" s="1"/>
  <c r="DM15" i="8" s="1"/>
  <c r="DN15" i="8" s="1"/>
  <c r="DK16" i="8"/>
  <c r="DL16" i="8" s="1"/>
  <c r="DM16" i="8" s="1"/>
  <c r="DN16" i="8" s="1"/>
  <c r="DK17" i="8"/>
  <c r="DL17" i="8" s="1"/>
  <c r="DM17" i="8" s="1"/>
  <c r="DN17" i="8" s="1"/>
  <c r="DK18" i="8"/>
  <c r="DL18" i="8" s="1"/>
  <c r="DM18" i="8" s="1"/>
  <c r="DN18" i="8" s="1"/>
  <c r="DK19" i="8"/>
  <c r="DL19" i="8" s="1"/>
  <c r="DM19" i="8" s="1"/>
  <c r="DN19" i="8" s="1"/>
  <c r="DK20" i="8"/>
  <c r="DL20" i="8" s="1"/>
  <c r="DM20" i="8" s="1"/>
  <c r="DN20" i="8" s="1"/>
  <c r="DK21" i="8"/>
  <c r="DK22" i="8"/>
  <c r="DK23" i="8"/>
  <c r="DL23" i="8" s="1"/>
  <c r="DM23" i="8" s="1"/>
  <c r="DN23" i="8" s="1"/>
  <c r="DK24" i="8"/>
  <c r="DK25" i="8"/>
  <c r="DK9" i="8"/>
  <c r="DL9" i="8" s="1"/>
  <c r="DM9" i="8" s="1"/>
  <c r="DN9" i="8" s="1"/>
  <c r="DB36" i="7"/>
  <c r="DB37" i="7"/>
  <c r="DB38" i="7"/>
  <c r="DB39" i="7"/>
  <c r="DB40" i="7"/>
  <c r="DB41" i="7"/>
  <c r="DB35" i="7"/>
  <c r="DB28" i="7"/>
  <c r="DB29" i="7"/>
  <c r="DB30" i="7"/>
  <c r="DB31" i="7"/>
  <c r="DB32" i="7"/>
  <c r="DB33" i="7"/>
  <c r="DB27" i="7"/>
  <c r="DB10" i="7"/>
  <c r="DB11" i="7"/>
  <c r="DB12" i="7"/>
  <c r="DB13" i="7"/>
  <c r="DB14" i="7"/>
  <c r="DB15" i="7"/>
  <c r="DB16" i="7"/>
  <c r="DB17" i="7"/>
  <c r="DB18" i="7"/>
  <c r="DB19" i="7"/>
  <c r="DB20" i="7"/>
  <c r="DB21" i="7"/>
  <c r="DB22" i="7"/>
  <c r="DB23" i="7"/>
  <c r="DB24" i="7"/>
  <c r="DB25" i="7"/>
  <c r="DB9" i="7"/>
  <c r="ED34" i="9"/>
  <c r="EC34" i="9"/>
  <c r="ED26" i="9"/>
  <c r="EC26" i="9"/>
  <c r="EE26" i="9" s="1"/>
  <c r="DJ34" i="8"/>
  <c r="DI34" i="8"/>
  <c r="DK34" i="8" s="1"/>
  <c r="DJ26" i="8"/>
  <c r="DI26" i="8"/>
  <c r="CV34" i="7"/>
  <c r="CU34" i="7"/>
  <c r="CW34" i="7" s="1"/>
  <c r="CV26" i="7"/>
  <c r="CU26" i="7"/>
  <c r="CH30" i="6"/>
  <c r="CJ30" i="6" s="1"/>
  <c r="CL30" i="6" s="1"/>
  <c r="CH29" i="6"/>
  <c r="CI29" i="6" s="1"/>
  <c r="CG40" i="6"/>
  <c r="CH40" i="6" s="1"/>
  <c r="CG39" i="6"/>
  <c r="CH39" i="6" s="1"/>
  <c r="CG38" i="6"/>
  <c r="CH38" i="6" s="1"/>
  <c r="CG37" i="6"/>
  <c r="CH37" i="6" s="1"/>
  <c r="CG36" i="6"/>
  <c r="CH36" i="6" s="1"/>
  <c r="CG35" i="6"/>
  <c r="CH35" i="6" s="1"/>
  <c r="CG33" i="6"/>
  <c r="CH33" i="6" s="1"/>
  <c r="CI33" i="6" s="1"/>
  <c r="CG32" i="6"/>
  <c r="CH32" i="6" s="1"/>
  <c r="CG31" i="6"/>
  <c r="CH31" i="6" s="1"/>
  <c r="CI31" i="6" s="1"/>
  <c r="CG30" i="6"/>
  <c r="CG29" i="6"/>
  <c r="CG28" i="6"/>
  <c r="CH28" i="6" s="1"/>
  <c r="CI28" i="6" s="1"/>
  <c r="CG27" i="6"/>
  <c r="CH27" i="6" s="1"/>
  <c r="CG25" i="6"/>
  <c r="CH25" i="6" s="1"/>
  <c r="CF34" i="6"/>
  <c r="CE34" i="6"/>
  <c r="CG34" i="6" s="1"/>
  <c r="CF26" i="6"/>
  <c r="CE26" i="6"/>
  <c r="AO34" i="3"/>
  <c r="AN34" i="3"/>
  <c r="BJ26" i="5"/>
  <c r="BR11" i="5"/>
  <c r="BR10" i="5"/>
  <c r="BR9" i="5"/>
  <c r="BK35" i="5"/>
  <c r="BL35" i="5" s="1"/>
  <c r="BM35" i="5" s="1"/>
  <c r="BL39" i="5"/>
  <c r="BM39" i="5" s="1"/>
  <c r="BL38" i="5"/>
  <c r="BN38" i="5" s="1"/>
  <c r="BO38" i="5" s="1"/>
  <c r="BL40" i="5"/>
  <c r="BN40" i="5" s="1"/>
  <c r="BP40" i="5" s="1"/>
  <c r="F35" i="17" s="1"/>
  <c r="BL30" i="5"/>
  <c r="BL31" i="5"/>
  <c r="BL12" i="5"/>
  <c r="BL15" i="5"/>
  <c r="BN15" i="5" s="1"/>
  <c r="BO15" i="5" s="1"/>
  <c r="BL16" i="5"/>
  <c r="BM16" i="5" s="1"/>
  <c r="BL17" i="5"/>
  <c r="BM17" i="5" s="1"/>
  <c r="BK41" i="5"/>
  <c r="BL41" i="5" s="1"/>
  <c r="BN41" i="5" s="1"/>
  <c r="BP41" i="5" s="1"/>
  <c r="F36" i="17" s="1"/>
  <c r="BK40" i="5"/>
  <c r="BK39" i="5"/>
  <c r="BK38" i="5"/>
  <c r="BK37" i="5"/>
  <c r="BL37" i="5" s="1"/>
  <c r="BM37" i="5" s="1"/>
  <c r="BK36" i="5"/>
  <c r="BK33" i="5"/>
  <c r="BL33" i="5" s="1"/>
  <c r="BK32" i="5"/>
  <c r="BL32" i="5" s="1"/>
  <c r="BK29" i="5"/>
  <c r="BL29" i="5" s="1"/>
  <c r="BK30" i="5"/>
  <c r="BK28" i="5"/>
  <c r="BL28" i="5" s="1"/>
  <c r="BM28" i="5" s="1"/>
  <c r="BK27" i="5"/>
  <c r="BL27" i="5" s="1"/>
  <c r="BM27" i="5" s="1"/>
  <c r="BK14" i="5"/>
  <c r="BL14" i="5" s="1"/>
  <c r="BM14" i="5" s="1"/>
  <c r="BK15" i="5"/>
  <c r="BK16" i="5"/>
  <c r="BK17" i="5"/>
  <c r="BK18" i="5"/>
  <c r="BL18" i="5" s="1"/>
  <c r="BM18" i="5" s="1"/>
  <c r="BK19" i="5"/>
  <c r="BL19" i="5" s="1"/>
  <c r="BM19" i="5" s="1"/>
  <c r="BK20" i="5"/>
  <c r="BL20" i="5" s="1"/>
  <c r="BM20" i="5" s="1"/>
  <c r="BK21" i="5"/>
  <c r="BL21" i="5" s="1"/>
  <c r="BM21" i="5" s="1"/>
  <c r="BK22" i="5"/>
  <c r="BL22" i="5" s="1"/>
  <c r="BK23" i="5"/>
  <c r="BL23" i="5" s="1"/>
  <c r="BN23" i="5" s="1"/>
  <c r="BO23" i="5" s="1"/>
  <c r="BK24" i="5"/>
  <c r="BL24" i="5" s="1"/>
  <c r="BM24" i="5" s="1"/>
  <c r="BK25" i="5"/>
  <c r="BL25" i="5" s="1"/>
  <c r="BK13" i="5"/>
  <c r="BL13" i="5" s="1"/>
  <c r="BM13" i="5" s="1"/>
  <c r="BK12" i="5"/>
  <c r="BK11" i="5"/>
  <c r="BL11" i="5" s="1"/>
  <c r="BM11" i="5" s="1"/>
  <c r="BK10" i="5"/>
  <c r="BL10" i="5" s="1"/>
  <c r="BM10" i="5" s="1"/>
  <c r="BK9" i="5"/>
  <c r="BL9" i="5" s="1"/>
  <c r="BM9" i="5" s="1"/>
  <c r="BI34" i="5"/>
  <c r="BK34" i="5" s="1"/>
  <c r="BJ34" i="5"/>
  <c r="BI26" i="5"/>
  <c r="AY10" i="4"/>
  <c r="AP34" i="4"/>
  <c r="AR25" i="4"/>
  <c r="AS25" i="4" s="1"/>
  <c r="AP26" i="4"/>
  <c r="AQ34" i="4"/>
  <c r="AQ26" i="4"/>
  <c r="AQ31" i="3"/>
  <c r="AS31" i="3" s="1"/>
  <c r="AN25" i="3"/>
  <c r="AN24" i="3"/>
  <c r="AN23" i="3"/>
  <c r="AN22" i="3"/>
  <c r="AN21" i="3"/>
  <c r="AN20" i="3"/>
  <c r="AN19" i="3"/>
  <c r="AN18" i="3"/>
  <c r="AN17" i="3"/>
  <c r="AN15" i="3"/>
  <c r="AN14" i="3"/>
  <c r="AN13" i="3"/>
  <c r="AN12" i="3"/>
  <c r="AN11" i="3" a="1"/>
  <c r="AN11" i="3" s="1"/>
  <c r="AN10" i="3"/>
  <c r="M19" i="2"/>
  <c r="H31" i="2"/>
  <c r="G31" i="2"/>
  <c r="I31" i="2" s="1"/>
  <c r="G9" i="2"/>
  <c r="H9" i="2" s="1"/>
  <c r="F36" i="2"/>
  <c r="G36" i="2" s="1"/>
  <c r="F37" i="2"/>
  <c r="G37" i="2" s="1"/>
  <c r="F38" i="2"/>
  <c r="G38" i="2" s="1"/>
  <c r="F39" i="2"/>
  <c r="G39" i="2" s="1"/>
  <c r="F40" i="2"/>
  <c r="G40" i="2" s="1"/>
  <c r="H40" i="2" s="1"/>
  <c r="F41" i="2"/>
  <c r="G41" i="2" s="1"/>
  <c r="F35" i="2"/>
  <c r="G35" i="2" s="1"/>
  <c r="E34" i="2"/>
  <c r="D34" i="2"/>
  <c r="F32" i="2"/>
  <c r="G32" i="2" s="1"/>
  <c r="F33" i="2"/>
  <c r="G33" i="2" s="1"/>
  <c r="F30" i="2"/>
  <c r="G30" i="2" s="1"/>
  <c r="F29" i="2"/>
  <c r="G29" i="2" s="1"/>
  <c r="I29" i="2" s="1"/>
  <c r="F28" i="2"/>
  <c r="G28" i="2" s="1"/>
  <c r="H28" i="2" s="1"/>
  <c r="F27" i="2"/>
  <c r="G27" i="2" s="1"/>
  <c r="F25" i="2"/>
  <c r="G25" i="2" s="1"/>
  <c r="E26" i="2"/>
  <c r="D26" i="2"/>
  <c r="F26" i="2" s="1"/>
  <c r="F15" i="2"/>
  <c r="F16" i="2"/>
  <c r="G16" i="2" s="1"/>
  <c r="F17" i="2"/>
  <c r="G17" i="2" s="1"/>
  <c r="F18" i="2"/>
  <c r="G18" i="2" s="1"/>
  <c r="F19" i="2"/>
  <c r="G19" i="2" s="1"/>
  <c r="F20" i="2"/>
  <c r="G20" i="2" s="1"/>
  <c r="F21" i="2"/>
  <c r="G21" i="2" s="1"/>
  <c r="F22" i="2"/>
  <c r="G22" i="2" s="1"/>
  <c r="F23" i="2"/>
  <c r="G23" i="2" s="1"/>
  <c r="F24" i="2"/>
  <c r="G24" i="2" s="1"/>
  <c r="F14" i="2"/>
  <c r="F13" i="2"/>
  <c r="F12" i="2"/>
  <c r="G12" i="2" s="1"/>
  <c r="H12" i="2" s="1"/>
  <c r="F11" i="2"/>
  <c r="F10" i="2"/>
  <c r="F9" i="2"/>
  <c r="AR34" i="4" l="1"/>
  <c r="CW26" i="7"/>
  <c r="DO31" i="8"/>
  <c r="DO17" i="8"/>
  <c r="DK26" i="8"/>
  <c r="DO28" i="8"/>
  <c r="CJ35" i="6"/>
  <c r="CL35" i="6" s="1"/>
  <c r="CI35" i="6"/>
  <c r="CI36" i="6"/>
  <c r="CJ36" i="6"/>
  <c r="CL36" i="6" s="1"/>
  <c r="CJ38" i="6"/>
  <c r="CL38" i="6" s="1"/>
  <c r="CI38" i="6"/>
  <c r="DO16" i="8"/>
  <c r="CI37" i="6"/>
  <c r="CJ37" i="6"/>
  <c r="CL37" i="6" s="1"/>
  <c r="CI27" i="6"/>
  <c r="CJ27" i="6"/>
  <c r="CL27" i="6" s="1"/>
  <c r="CJ39" i="6"/>
  <c r="CL39" i="6" s="1"/>
  <c r="CI39" i="6"/>
  <c r="CJ25" i="6"/>
  <c r="CI25" i="6"/>
  <c r="F31" i="17"/>
  <c r="CJ40" i="6"/>
  <c r="CL40" i="6" s="1"/>
  <c r="CI40" i="6"/>
  <c r="DO23" i="8"/>
  <c r="DO11" i="8"/>
  <c r="DO39" i="8"/>
  <c r="CI32" i="6"/>
  <c r="CJ32" i="6"/>
  <c r="CL32" i="6" s="1"/>
  <c r="DO22" i="8"/>
  <c r="DO38" i="8"/>
  <c r="DO21" i="8"/>
  <c r="DO20" i="8"/>
  <c r="DO33" i="8"/>
  <c r="DO36" i="8"/>
  <c r="CG26" i="6"/>
  <c r="DO37" i="8"/>
  <c r="F34" i="2"/>
  <c r="CJ33" i="6"/>
  <c r="CL33" i="6" s="1"/>
  <c r="DO19" i="8"/>
  <c r="AR26" i="4"/>
  <c r="BP23" i="5"/>
  <c r="F18" i="17" s="1"/>
  <c r="DO18" i="8"/>
  <c r="CJ31" i="6"/>
  <c r="CL31" i="6" s="1"/>
  <c r="DO30" i="8"/>
  <c r="DO29" i="8"/>
  <c r="BP38" i="5"/>
  <c r="F33" i="17" s="1"/>
  <c r="CJ29" i="6"/>
  <c r="CL29" i="6" s="1"/>
  <c r="DO15" i="8"/>
  <c r="BM15" i="5"/>
  <c r="BP15" i="5"/>
  <c r="F10" i="17" s="1"/>
  <c r="BK26" i="5"/>
  <c r="CI30" i="6"/>
  <c r="CJ28" i="6"/>
  <c r="CL28" i="6" s="1"/>
  <c r="DO14" i="8"/>
  <c r="DO10" i="8"/>
  <c r="DO9" i="8"/>
  <c r="AN26" i="3"/>
  <c r="EE34" i="9"/>
  <c r="BM23" i="5"/>
  <c r="BM38" i="5"/>
  <c r="BN24" i="5"/>
  <c r="BN35" i="5"/>
  <c r="BN37" i="5"/>
  <c r="BN39" i="5"/>
  <c r="I9" i="2"/>
  <c r="H41" i="2"/>
  <c r="I41" i="2"/>
  <c r="I39" i="2"/>
  <c r="H39" i="2"/>
  <c r="H38" i="2"/>
  <c r="I38" i="2"/>
  <c r="H37" i="2"/>
  <c r="I37" i="2"/>
  <c r="H36" i="2"/>
  <c r="I36" i="2"/>
  <c r="H35" i="2"/>
  <c r="I35" i="2"/>
  <c r="I40" i="2"/>
  <c r="H27" i="2"/>
  <c r="I27" i="2"/>
  <c r="I32" i="2"/>
  <c r="H32" i="2"/>
  <c r="I30" i="2"/>
  <c r="H30" i="2"/>
  <c r="I33" i="2"/>
  <c r="H33" i="2"/>
  <c r="I28" i="2"/>
  <c r="H29" i="2"/>
  <c r="I24" i="2"/>
  <c r="H24" i="2"/>
  <c r="I21" i="2"/>
  <c r="H21" i="2"/>
  <c r="I18" i="2"/>
  <c r="H18" i="2"/>
  <c r="H25" i="2"/>
  <c r="I25" i="2"/>
  <c r="I23" i="2"/>
  <c r="H23" i="2"/>
  <c r="H17" i="2"/>
  <c r="I17" i="2"/>
  <c r="I22" i="2"/>
  <c r="H22" i="2"/>
  <c r="H20" i="2"/>
  <c r="I20" i="2"/>
  <c r="H19" i="2"/>
  <c r="I19" i="2"/>
  <c r="I16" i="2"/>
  <c r="H16" i="2"/>
  <c r="I12" i="2"/>
  <c r="BO39" i="5" l="1"/>
  <c r="BP39" i="5"/>
  <c r="F34" i="17" s="1"/>
  <c r="CK25" i="6"/>
  <c r="CL25" i="6"/>
  <c r="BO37" i="5"/>
  <c r="BP37" i="5"/>
  <c r="F32" i="17" s="1"/>
  <c r="BO35" i="5"/>
  <c r="BP35" i="5"/>
  <c r="F30" i="17" s="1"/>
  <c r="BO24" i="5"/>
  <c r="BP24" i="5"/>
  <c r="F19" i="17" s="1"/>
  <c r="K9" i="2"/>
  <c r="J9" i="2"/>
  <c r="K25" i="2"/>
  <c r="J25" i="2"/>
  <c r="K20" i="2"/>
  <c r="J20" i="2"/>
  <c r="J19" i="2"/>
  <c r="K19" i="2"/>
  <c r="L19" i="2" s="1"/>
  <c r="J17" i="2"/>
  <c r="K17" i="2"/>
  <c r="K12" i="2"/>
  <c r="J12" i="2"/>
  <c r="K23" i="2"/>
  <c r="J23" i="2"/>
  <c r="J16" i="2"/>
  <c r="K16" i="2"/>
  <c r="J18" i="2"/>
  <c r="K18" i="2"/>
  <c r="K21" i="2"/>
  <c r="J21" i="2"/>
  <c r="J22" i="2"/>
  <c r="K22" i="2"/>
  <c r="K24" i="2"/>
  <c r="J24" i="2"/>
  <c r="AY15" i="4" l="1"/>
  <c r="AY36" i="4" l="1"/>
  <c r="AY37" i="4"/>
  <c r="AY38" i="4"/>
  <c r="AY39" i="4"/>
  <c r="AY40" i="4"/>
  <c r="AY41" i="4"/>
  <c r="AY35" i="4"/>
  <c r="AY28" i="4"/>
  <c r="AY29" i="4"/>
  <c r="AY30" i="4"/>
  <c r="AY31" i="4"/>
  <c r="AY32" i="4"/>
  <c r="AY33" i="4"/>
  <c r="AY27" i="4"/>
  <c r="AY11" i="4"/>
  <c r="AY12" i="4"/>
  <c r="AY13" i="4"/>
  <c r="AY14" i="4"/>
  <c r="AY16" i="4"/>
  <c r="AY17" i="4"/>
  <c r="AY18" i="4"/>
  <c r="AY19" i="4"/>
  <c r="AY20" i="4"/>
  <c r="AY21" i="4"/>
  <c r="AY22" i="4"/>
  <c r="AY23" i="4"/>
  <c r="AY24" i="4"/>
  <c r="AY25" i="4"/>
  <c r="AY9" i="4"/>
  <c r="M17" i="2" l="1"/>
  <c r="G32" i="11"/>
  <c r="G35" i="11"/>
  <c r="BN29" i="5"/>
  <c r="BP29" i="5" s="1"/>
  <c r="F24" i="17" s="1"/>
  <c r="BN30" i="5"/>
  <c r="BP30" i="5" s="1"/>
  <c r="F25" i="17" s="1"/>
  <c r="BN10" i="5"/>
  <c r="BM22" i="5"/>
  <c r="AR36" i="4"/>
  <c r="AR37" i="4"/>
  <c r="AR38" i="4"/>
  <c r="AR39" i="4"/>
  <c r="AT39" i="4" s="1"/>
  <c r="AR40" i="4"/>
  <c r="AR41" i="4"/>
  <c r="AR35" i="4"/>
  <c r="AT35" i="4" s="1"/>
  <c r="AR28" i="4"/>
  <c r="AR29" i="4"/>
  <c r="AU29" i="4" s="1"/>
  <c r="AW29" i="4" s="1"/>
  <c r="AX29" i="4" s="1"/>
  <c r="AR30" i="4"/>
  <c r="AR32" i="4"/>
  <c r="AR33" i="4"/>
  <c r="AR27" i="4"/>
  <c r="AU27" i="4" s="1"/>
  <c r="AW27" i="4" s="1"/>
  <c r="AX27" i="4" s="1"/>
  <c r="AR10" i="4"/>
  <c r="AS10" i="4" s="1"/>
  <c r="AR11" i="4"/>
  <c r="AS11" i="4" s="1"/>
  <c r="AR12" i="4"/>
  <c r="AS12" i="4" s="1"/>
  <c r="AR13" i="4"/>
  <c r="AS13" i="4" s="1"/>
  <c r="AR14" i="4"/>
  <c r="AR15" i="4"/>
  <c r="AS15" i="4" s="1"/>
  <c r="AR16" i="4"/>
  <c r="AS16" i="4" s="1"/>
  <c r="AR17" i="4"/>
  <c r="AS17" i="4" s="1"/>
  <c r="AR18" i="4"/>
  <c r="AS18" i="4" s="1"/>
  <c r="AR19" i="4"/>
  <c r="AS19" i="4" s="1"/>
  <c r="AR20" i="4"/>
  <c r="AS20" i="4" s="1"/>
  <c r="AU20" i="4" s="1"/>
  <c r="AV20" i="4" s="1"/>
  <c r="AR21" i="4"/>
  <c r="AR22" i="4"/>
  <c r="AS22" i="4" s="1"/>
  <c r="AR23" i="4"/>
  <c r="AS23" i="4" s="1"/>
  <c r="AR24" i="4"/>
  <c r="AS24" i="4" s="1"/>
  <c r="AR9" i="4"/>
  <c r="AS9" i="4" s="1"/>
  <c r="G10" i="2"/>
  <c r="G15" i="2"/>
  <c r="E31" i="11"/>
  <c r="E32" i="11"/>
  <c r="E33" i="11"/>
  <c r="E34" i="11"/>
  <c r="E35" i="11"/>
  <c r="E36" i="11"/>
  <c r="E30" i="11"/>
  <c r="E23" i="11"/>
  <c r="E24" i="11"/>
  <c r="E25" i="11"/>
  <c r="E26" i="11"/>
  <c r="E27" i="11"/>
  <c r="E28" i="11"/>
  <c r="E22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4" i="11"/>
  <c r="AW41" i="3"/>
  <c r="AP41" i="3"/>
  <c r="AQ41" i="3" s="1"/>
  <c r="AS41" i="3" s="1"/>
  <c r="AW40" i="3"/>
  <c r="AP40" i="3"/>
  <c r="AQ40" i="3" s="1"/>
  <c r="AS40" i="3" s="1"/>
  <c r="AW39" i="3"/>
  <c r="AP39" i="3"/>
  <c r="AQ39" i="3" s="1"/>
  <c r="AS39" i="3" s="1"/>
  <c r="AW38" i="3"/>
  <c r="AP38" i="3"/>
  <c r="AQ38" i="3" s="1"/>
  <c r="AS38" i="3" s="1"/>
  <c r="AW37" i="3"/>
  <c r="AP37" i="3"/>
  <c r="AQ37" i="3" s="1"/>
  <c r="AS37" i="3" s="1"/>
  <c r="AW36" i="3"/>
  <c r="AP36" i="3"/>
  <c r="AQ36" i="3" s="1"/>
  <c r="AS36" i="3" s="1"/>
  <c r="AW35" i="3"/>
  <c r="AP35" i="3"/>
  <c r="AQ35" i="3" s="1"/>
  <c r="AS35" i="3" s="1"/>
  <c r="AW33" i="3"/>
  <c r="AP33" i="3"/>
  <c r="AQ33" i="3" s="1"/>
  <c r="AS33" i="3" s="1"/>
  <c r="AW32" i="3"/>
  <c r="AP32" i="3"/>
  <c r="AW31" i="3"/>
  <c r="AW30" i="3"/>
  <c r="AP30" i="3"/>
  <c r="AW29" i="3"/>
  <c r="AP29" i="3"/>
  <c r="AQ29" i="3" s="1"/>
  <c r="AS29" i="3" s="1"/>
  <c r="AW28" i="3"/>
  <c r="AP28" i="3"/>
  <c r="AQ28" i="3" s="1"/>
  <c r="AW27" i="3"/>
  <c r="AP27" i="3"/>
  <c r="AQ27" i="3" s="1"/>
  <c r="AS27" i="3" s="1"/>
  <c r="AT27" i="3" s="1"/>
  <c r="AV27" i="3" s="1"/>
  <c r="AX27" i="3" s="1"/>
  <c r="AW25" i="3"/>
  <c r="AP25" i="3"/>
  <c r="AQ25" i="3" s="1"/>
  <c r="AW24" i="3"/>
  <c r="AP24" i="3"/>
  <c r="AQ24" i="3" s="1"/>
  <c r="AW23" i="3"/>
  <c r="AP23" i="3"/>
  <c r="AQ23" i="3" s="1"/>
  <c r="AW22" i="3"/>
  <c r="AP22" i="3"/>
  <c r="AQ22" i="3" s="1"/>
  <c r="AW21" i="3"/>
  <c r="AP21" i="3"/>
  <c r="AQ21" i="3" s="1"/>
  <c r="AW20" i="3"/>
  <c r="AP20" i="3"/>
  <c r="AQ20" i="3" s="1"/>
  <c r="AW19" i="3"/>
  <c r="AP19" i="3"/>
  <c r="AQ19" i="3" s="1"/>
  <c r="AW18" i="3"/>
  <c r="AP18" i="3"/>
  <c r="AQ18" i="3" s="1"/>
  <c r="AW17" i="3"/>
  <c r="AP17" i="3"/>
  <c r="AQ17" i="3" s="1"/>
  <c r="AW16" i="3"/>
  <c r="AP16" i="3"/>
  <c r="AQ16" i="3" s="1"/>
  <c r="AW15" i="3"/>
  <c r="AP15" i="3"/>
  <c r="AQ15" i="3" s="1"/>
  <c r="AW14" i="3"/>
  <c r="AP14" i="3"/>
  <c r="AQ14" i="3" s="1"/>
  <c r="AW13" i="3"/>
  <c r="AP13" i="3"/>
  <c r="AQ13" i="3" s="1"/>
  <c r="AW12" i="3"/>
  <c r="AP12" i="3"/>
  <c r="AQ12" i="3" s="1"/>
  <c r="AW11" i="3"/>
  <c r="AP11" i="3"/>
  <c r="AQ11" i="3" s="1"/>
  <c r="AW10" i="3"/>
  <c r="AP10" i="3"/>
  <c r="AQ10" i="3" s="1"/>
  <c r="AW9" i="3"/>
  <c r="AP9" i="3"/>
  <c r="AQ9" i="3" s="1"/>
  <c r="AI31" i="3"/>
  <c r="AB31" i="3"/>
  <c r="AC31" i="3" s="1"/>
  <c r="CW36" i="7"/>
  <c r="CX36" i="7" s="1"/>
  <c r="CW37" i="7"/>
  <c r="CX37" i="7" s="1"/>
  <c r="CW38" i="7"/>
  <c r="CW39" i="7"/>
  <c r="CX39" i="7" s="1"/>
  <c r="CY39" i="7" s="1"/>
  <c r="CZ39" i="7" s="1"/>
  <c r="DA39" i="7" s="1"/>
  <c r="CW40" i="7"/>
  <c r="CW41" i="7"/>
  <c r="CX41" i="7" s="1"/>
  <c r="CW35" i="7"/>
  <c r="CX35" i="7" s="1"/>
  <c r="CY35" i="7" s="1"/>
  <c r="CZ35" i="7" s="1"/>
  <c r="DA35" i="7" s="1"/>
  <c r="CW28" i="7"/>
  <c r="CX28" i="7" s="1"/>
  <c r="CY28" i="7" s="1"/>
  <c r="CZ28" i="7" s="1"/>
  <c r="DA28" i="7" s="1"/>
  <c r="CW29" i="7"/>
  <c r="CX29" i="7" s="1"/>
  <c r="CY29" i="7" s="1"/>
  <c r="CZ29" i="7" s="1"/>
  <c r="DA29" i="7" s="1"/>
  <c r="CW30" i="7"/>
  <c r="CX30" i="7" s="1"/>
  <c r="CW31" i="7"/>
  <c r="CX31" i="7" s="1"/>
  <c r="CW32" i="7"/>
  <c r="CX32" i="7" s="1"/>
  <c r="CY32" i="7" s="1"/>
  <c r="CZ32" i="7" s="1"/>
  <c r="DA32" i="7" s="1"/>
  <c r="CW33" i="7"/>
  <c r="CX33" i="7" s="1"/>
  <c r="CW27" i="7"/>
  <c r="CW12" i="7"/>
  <c r="CX12" i="7" s="1"/>
  <c r="CY12" i="7" s="1"/>
  <c r="CZ12" i="7" s="1"/>
  <c r="DA12" i="7" s="1"/>
  <c r="CW13" i="7"/>
  <c r="CX13" i="7" s="1"/>
  <c r="CY13" i="7" s="1"/>
  <c r="CZ13" i="7" s="1"/>
  <c r="DA13" i="7" s="1"/>
  <c r="CW14" i="7"/>
  <c r="CX14" i="7" s="1"/>
  <c r="CY14" i="7" s="1"/>
  <c r="CZ14" i="7" s="1"/>
  <c r="DA14" i="7" s="1"/>
  <c r="CW15" i="7"/>
  <c r="CX15" i="7" s="1"/>
  <c r="CY15" i="7" s="1"/>
  <c r="CZ15" i="7" s="1"/>
  <c r="DA15" i="7" s="1"/>
  <c r="CW16" i="7"/>
  <c r="CX16" i="7" s="1"/>
  <c r="CY16" i="7" s="1"/>
  <c r="CZ16" i="7" s="1"/>
  <c r="DA16" i="7" s="1"/>
  <c r="CW17" i="7"/>
  <c r="CW18" i="7"/>
  <c r="CX18" i="7" s="1"/>
  <c r="CY18" i="7" s="1"/>
  <c r="CZ18" i="7" s="1"/>
  <c r="DA18" i="7" s="1"/>
  <c r="CW19" i="7"/>
  <c r="CW20" i="7"/>
  <c r="CX20" i="7" s="1"/>
  <c r="CY20" i="7" s="1"/>
  <c r="CZ20" i="7" s="1"/>
  <c r="DA20" i="7" s="1"/>
  <c r="CW21" i="7"/>
  <c r="CX21" i="7" s="1"/>
  <c r="CY21" i="7" s="1"/>
  <c r="CZ21" i="7" s="1"/>
  <c r="DA21" i="7" s="1"/>
  <c r="CW22" i="7"/>
  <c r="CX22" i="7" s="1"/>
  <c r="CY22" i="7" s="1"/>
  <c r="CZ22" i="7" s="1"/>
  <c r="DA22" i="7" s="1"/>
  <c r="CW23" i="7"/>
  <c r="CW24" i="7"/>
  <c r="CX24" i="7" s="1"/>
  <c r="CY24" i="7" s="1"/>
  <c r="CZ24" i="7" s="1"/>
  <c r="DA24" i="7" s="1"/>
  <c r="CW25" i="7"/>
  <c r="CX25" i="7" s="1"/>
  <c r="CY25" i="7" s="1"/>
  <c r="CZ25" i="7" s="1"/>
  <c r="DA25" i="7" s="1"/>
  <c r="CW10" i="7"/>
  <c r="CX10" i="7" s="1"/>
  <c r="CY10" i="7" s="1"/>
  <c r="CZ10" i="7" s="1"/>
  <c r="DA10" i="7" s="1"/>
  <c r="CW11" i="7"/>
  <c r="CX11" i="7" s="1"/>
  <c r="CY11" i="7" s="1"/>
  <c r="CZ11" i="7" s="1"/>
  <c r="DA11" i="7" s="1"/>
  <c r="CW9" i="7"/>
  <c r="CX9" i="7" s="1"/>
  <c r="CY9" i="7" s="1"/>
  <c r="CZ9" i="7" s="1"/>
  <c r="DA9" i="7" s="1"/>
  <c r="CG41" i="6"/>
  <c r="CH41" i="6" s="1"/>
  <c r="CG10" i="6"/>
  <c r="CH10" i="6" s="1"/>
  <c r="CG11" i="6"/>
  <c r="CH11" i="6" s="1"/>
  <c r="CG12" i="6"/>
  <c r="CH12" i="6" s="1"/>
  <c r="CG13" i="6"/>
  <c r="CH13" i="6" s="1"/>
  <c r="CG14" i="6"/>
  <c r="CH14" i="6" s="1"/>
  <c r="CG15" i="6"/>
  <c r="CH15" i="6" s="1"/>
  <c r="CG16" i="6"/>
  <c r="CH16" i="6" s="1"/>
  <c r="CG17" i="6"/>
  <c r="CH17" i="6" s="1"/>
  <c r="CG18" i="6"/>
  <c r="CH18" i="6" s="1"/>
  <c r="CG19" i="6"/>
  <c r="CH19" i="6" s="1"/>
  <c r="CG20" i="6"/>
  <c r="CH20" i="6" s="1"/>
  <c r="CG21" i="6"/>
  <c r="CH21" i="6" s="1"/>
  <c r="CG22" i="6"/>
  <c r="CH22" i="6" s="1"/>
  <c r="CG23" i="6"/>
  <c r="CH23" i="6" s="1"/>
  <c r="CG24" i="6"/>
  <c r="CH24" i="6" s="1"/>
  <c r="CG9" i="6"/>
  <c r="CH9" i="6" s="1"/>
  <c r="J33" i="11"/>
  <c r="DL35" i="8"/>
  <c r="J25" i="11"/>
  <c r="J26" i="11"/>
  <c r="J14" i="11"/>
  <c r="J15" i="11"/>
  <c r="J10" i="11"/>
  <c r="J4" i="11"/>
  <c r="G26" i="11"/>
  <c r="K26" i="11"/>
  <c r="L36" i="11"/>
  <c r="L35" i="11"/>
  <c r="L34" i="11"/>
  <c r="L33" i="11"/>
  <c r="L32" i="11"/>
  <c r="L31" i="11"/>
  <c r="L30" i="11"/>
  <c r="L28" i="11"/>
  <c r="L27" i="11"/>
  <c r="L26" i="11"/>
  <c r="L25" i="11"/>
  <c r="L24" i="11"/>
  <c r="L23" i="11"/>
  <c r="L22" i="11"/>
  <c r="L20" i="11"/>
  <c r="L19" i="11"/>
  <c r="L18" i="11"/>
  <c r="L17" i="11"/>
  <c r="L16" i="11"/>
  <c r="L15" i="11"/>
  <c r="L14" i="11"/>
  <c r="L13" i="11"/>
  <c r="L12" i="11"/>
  <c r="L11" i="11"/>
  <c r="L10" i="11"/>
  <c r="L9" i="11"/>
  <c r="L8" i="11"/>
  <c r="L7" i="11"/>
  <c r="L6" i="11"/>
  <c r="L5" i="11"/>
  <c r="L4" i="11"/>
  <c r="EJ41" i="9"/>
  <c r="EG41" i="9"/>
  <c r="EH41" i="9" s="1"/>
  <c r="EJ40" i="9"/>
  <c r="EG40" i="9"/>
  <c r="EH40" i="9" s="1"/>
  <c r="EJ39" i="9"/>
  <c r="EI39" i="9" s="1"/>
  <c r="EG39" i="9"/>
  <c r="EH39" i="9" s="1"/>
  <c r="EJ38" i="9"/>
  <c r="EG38" i="9"/>
  <c r="EH38" i="9" s="1"/>
  <c r="EJ37" i="9"/>
  <c r="EG37" i="9"/>
  <c r="EH37" i="9" s="1"/>
  <c r="EJ36" i="9"/>
  <c r="EG36" i="9"/>
  <c r="EH36" i="9" s="1"/>
  <c r="EJ35" i="9"/>
  <c r="EF35" i="9"/>
  <c r="EG35" i="9" s="1"/>
  <c r="EH35" i="9" s="1"/>
  <c r="EJ33" i="9"/>
  <c r="EH33" i="9"/>
  <c r="K28" i="11" s="1"/>
  <c r="EJ32" i="9"/>
  <c r="EH32" i="9"/>
  <c r="EJ31" i="9"/>
  <c r="EI31" i="9" s="1"/>
  <c r="EJ30" i="9"/>
  <c r="EH30" i="9"/>
  <c r="EJ29" i="9"/>
  <c r="EH29" i="9"/>
  <c r="EJ28" i="9"/>
  <c r="EH28" i="9"/>
  <c r="K23" i="11" s="1"/>
  <c r="EJ27" i="9"/>
  <c r="EH27" i="9"/>
  <c r="EJ25" i="9"/>
  <c r="EI25" i="9" s="1"/>
  <c r="EH25" i="9"/>
  <c r="EJ24" i="9"/>
  <c r="EH24" i="9"/>
  <c r="EJ23" i="9"/>
  <c r="EH23" i="9"/>
  <c r="EJ22" i="9"/>
  <c r="EH22" i="9"/>
  <c r="EJ21" i="9"/>
  <c r="EH21" i="9"/>
  <c r="K16" i="11" s="1"/>
  <c r="EJ20" i="9"/>
  <c r="EH20" i="9"/>
  <c r="K15" i="11" s="1"/>
  <c r="EJ19" i="9"/>
  <c r="EH19" i="9"/>
  <c r="EJ18" i="9"/>
  <c r="EH18" i="9"/>
  <c r="K13" i="11" s="1"/>
  <c r="EJ17" i="9"/>
  <c r="EH17" i="9"/>
  <c r="K12" i="11" s="1"/>
  <c r="EJ16" i="9"/>
  <c r="EH16" i="9"/>
  <c r="EJ15" i="9"/>
  <c r="EH15" i="9"/>
  <c r="EJ14" i="9"/>
  <c r="EH14" i="9"/>
  <c r="K9" i="11" s="1"/>
  <c r="EJ13" i="9"/>
  <c r="EI13" i="9" s="1"/>
  <c r="EH13" i="9"/>
  <c r="K8" i="11" s="1"/>
  <c r="EJ12" i="9"/>
  <c r="EH12" i="9"/>
  <c r="EJ11" i="9"/>
  <c r="EH11" i="9"/>
  <c r="EJ10" i="9"/>
  <c r="EH10" i="9"/>
  <c r="EJ9" i="9"/>
  <c r="EI9" i="9" s="1"/>
  <c r="J31" i="11"/>
  <c r="J27" i="11"/>
  <c r="J19" i="11"/>
  <c r="J16" i="11"/>
  <c r="J9" i="11"/>
  <c r="J6" i="11"/>
  <c r="CX40" i="7"/>
  <c r="CX38" i="7"/>
  <c r="CY38" i="7" s="1"/>
  <c r="CZ38" i="7" s="1"/>
  <c r="DA38" i="7" s="1"/>
  <c r="CX27" i="7"/>
  <c r="CY27" i="7" s="1"/>
  <c r="CZ27" i="7" s="1"/>
  <c r="DA27" i="7" s="1"/>
  <c r="I15" i="11"/>
  <c r="I8" i="11"/>
  <c r="I6" i="11"/>
  <c r="CN41" i="6"/>
  <c r="CN40" i="6"/>
  <c r="CM40" i="6" s="1"/>
  <c r="CN39" i="6"/>
  <c r="CM39" i="6" s="1"/>
  <c r="CN38" i="6"/>
  <c r="CM38" i="6" s="1"/>
  <c r="CN37" i="6"/>
  <c r="CM37" i="6" s="1"/>
  <c r="CN36" i="6"/>
  <c r="CM36" i="6" s="1"/>
  <c r="CN35" i="6"/>
  <c r="CM35" i="6" s="1"/>
  <c r="CN33" i="6"/>
  <c r="CM33" i="6" s="1"/>
  <c r="CN32" i="6"/>
  <c r="CM32" i="6" s="1"/>
  <c r="CN31" i="6"/>
  <c r="CM31" i="6" s="1"/>
  <c r="CN30" i="6"/>
  <c r="CM30" i="6" s="1"/>
  <c r="CN29" i="6"/>
  <c r="CM29" i="6" s="1"/>
  <c r="CN28" i="6"/>
  <c r="CM28" i="6" s="1"/>
  <c r="CN27" i="6"/>
  <c r="CM27" i="6" s="1"/>
  <c r="CN25" i="6"/>
  <c r="CM25" i="6" s="1"/>
  <c r="CN24" i="6"/>
  <c r="CN23" i="6"/>
  <c r="CN22" i="6"/>
  <c r="CN21" i="6"/>
  <c r="CN20" i="6"/>
  <c r="CN19" i="6"/>
  <c r="CN18" i="6"/>
  <c r="CN17" i="6"/>
  <c r="CN16" i="6"/>
  <c r="CN15" i="6"/>
  <c r="CN14" i="6"/>
  <c r="CN13" i="6"/>
  <c r="CN12" i="6"/>
  <c r="CN11" i="6"/>
  <c r="CN10" i="6"/>
  <c r="CN9" i="6"/>
  <c r="BR41" i="5"/>
  <c r="BQ41" i="5" s="1"/>
  <c r="BR40" i="5"/>
  <c r="BQ40" i="5" s="1"/>
  <c r="BR39" i="5"/>
  <c r="BQ39" i="5" s="1"/>
  <c r="BR38" i="5"/>
  <c r="BQ38" i="5" s="1"/>
  <c r="BR37" i="5"/>
  <c r="BQ37" i="5" s="1"/>
  <c r="BR36" i="5"/>
  <c r="BQ36" i="5" s="1"/>
  <c r="G31" i="11"/>
  <c r="BR35" i="5"/>
  <c r="BQ35" i="5" s="1"/>
  <c r="BR33" i="5"/>
  <c r="BN33" i="5"/>
  <c r="BP33" i="5" s="1"/>
  <c r="F28" i="17" s="1"/>
  <c r="BR32" i="5"/>
  <c r="BN32" i="5"/>
  <c r="BR31" i="5"/>
  <c r="BO31" i="5"/>
  <c r="BM31" i="5"/>
  <c r="BR30" i="5"/>
  <c r="BQ30" i="5" s="1"/>
  <c r="BR29" i="5"/>
  <c r="BQ29" i="5" s="1"/>
  <c r="BR28" i="5"/>
  <c r="BR27" i="5"/>
  <c r="BN27" i="5"/>
  <c r="BR25" i="5"/>
  <c r="BN25" i="5"/>
  <c r="BR24" i="5"/>
  <c r="BQ24" i="5" s="1"/>
  <c r="G19" i="11"/>
  <c r="BR23" i="5"/>
  <c r="BQ23" i="5" s="1"/>
  <c r="G18" i="11"/>
  <c r="BR22" i="5"/>
  <c r="BR21" i="5"/>
  <c r="BN21" i="5"/>
  <c r="BP21" i="5" s="1"/>
  <c r="F16" i="17" s="1"/>
  <c r="BR20" i="5"/>
  <c r="BR19" i="5"/>
  <c r="BN19" i="5"/>
  <c r="BR18" i="5"/>
  <c r="BR17" i="5"/>
  <c r="BN17" i="5"/>
  <c r="BP17" i="5" s="1"/>
  <c r="F12" i="17" s="1"/>
  <c r="BR16" i="5"/>
  <c r="BN16" i="5"/>
  <c r="BP16" i="5" s="1"/>
  <c r="F11" i="17" s="1"/>
  <c r="BR15" i="5"/>
  <c r="BQ15" i="5" s="1"/>
  <c r="BR14" i="5"/>
  <c r="BN14" i="5"/>
  <c r="BR13" i="5"/>
  <c r="BR12" i="5"/>
  <c r="BN12" i="5"/>
  <c r="BN11" i="5"/>
  <c r="BP11" i="5" s="1"/>
  <c r="BN9" i="5"/>
  <c r="AU40" i="4"/>
  <c r="AW40" i="4" s="1"/>
  <c r="AX40" i="4" s="1"/>
  <c r="AU38" i="4"/>
  <c r="AW38" i="4" s="1"/>
  <c r="AX38" i="4" s="1"/>
  <c r="AU36" i="4"/>
  <c r="AU31" i="4"/>
  <c r="AW31" i="4" s="1"/>
  <c r="AX31" i="4" s="1"/>
  <c r="AT28" i="4"/>
  <c r="AU16" i="4"/>
  <c r="AW16" i="4" s="1"/>
  <c r="F11" i="11" s="1"/>
  <c r="AT9" i="4"/>
  <c r="AI41" i="3"/>
  <c r="AB41" i="3"/>
  <c r="AC41" i="3" s="1"/>
  <c r="AI40" i="3"/>
  <c r="AB40" i="3"/>
  <c r="AC40" i="3" s="1"/>
  <c r="AI39" i="3"/>
  <c r="AB39" i="3"/>
  <c r="AC39" i="3" s="1"/>
  <c r="AI38" i="3"/>
  <c r="AB38" i="3"/>
  <c r="AC38" i="3"/>
  <c r="AD38" i="3" s="1"/>
  <c r="AI37" i="3"/>
  <c r="AB37" i="3"/>
  <c r="AC37" i="3" s="1"/>
  <c r="AI36" i="3"/>
  <c r="AB36" i="3"/>
  <c r="AC36" i="3"/>
  <c r="AD36" i="3" s="1"/>
  <c r="AI35" i="3"/>
  <c r="AB35" i="3"/>
  <c r="AC35" i="3" s="1"/>
  <c r="AE35" i="3" s="1"/>
  <c r="AI33" i="3"/>
  <c r="AB33" i="3"/>
  <c r="AC33" i="3" s="1"/>
  <c r="AE33" i="3" s="1"/>
  <c r="AI32" i="3"/>
  <c r="AB32" i="3"/>
  <c r="AC32" i="3" s="1"/>
  <c r="AI30" i="3"/>
  <c r="AB30" i="3"/>
  <c r="AC30" i="3" s="1"/>
  <c r="AD30" i="3" s="1"/>
  <c r="AI29" i="3"/>
  <c r="AB29" i="3"/>
  <c r="AC29" i="3" s="1"/>
  <c r="AI28" i="3"/>
  <c r="AB28" i="3"/>
  <c r="AC28" i="3" s="1"/>
  <c r="AD28" i="3" s="1"/>
  <c r="AI27" i="3"/>
  <c r="AB27" i="3"/>
  <c r="AC27" i="3" s="1"/>
  <c r="AI25" i="3"/>
  <c r="AB25" i="3"/>
  <c r="AC25" i="3" s="1"/>
  <c r="AD25" i="3" s="1"/>
  <c r="AI24" i="3"/>
  <c r="AB24" i="3"/>
  <c r="AC24" i="3" s="1"/>
  <c r="AD24" i="3" s="1"/>
  <c r="AI23" i="3"/>
  <c r="AB23" i="3"/>
  <c r="AC23" i="3" s="1"/>
  <c r="AD23" i="3" s="1"/>
  <c r="AI22" i="3"/>
  <c r="AB22" i="3"/>
  <c r="AC22" i="3" s="1"/>
  <c r="AI21" i="3"/>
  <c r="AB21" i="3"/>
  <c r="AC21" i="3" s="1"/>
  <c r="AE21" i="3" s="1"/>
  <c r="AI20" i="3"/>
  <c r="AB20" i="3"/>
  <c r="AC20" i="3" s="1"/>
  <c r="AD20" i="3" s="1"/>
  <c r="AI19" i="3"/>
  <c r="AB19" i="3"/>
  <c r="AC19" i="3" s="1"/>
  <c r="AD19" i="3" s="1"/>
  <c r="AI18" i="3"/>
  <c r="AB18" i="3"/>
  <c r="AC18" i="3" s="1"/>
  <c r="AI17" i="3"/>
  <c r="AB17" i="3"/>
  <c r="AC17" i="3" s="1"/>
  <c r="AD17" i="3" s="1"/>
  <c r="AI16" i="3"/>
  <c r="AB16" i="3"/>
  <c r="AC16" i="3"/>
  <c r="AD16" i="3" s="1"/>
  <c r="AI15" i="3"/>
  <c r="AB15" i="3"/>
  <c r="AC15" i="3" s="1"/>
  <c r="AE15" i="3" s="1"/>
  <c r="AI14" i="3"/>
  <c r="AB14" i="3"/>
  <c r="AC14" i="3" s="1"/>
  <c r="AI13" i="3"/>
  <c r="AB13" i="3"/>
  <c r="AC13" i="3"/>
  <c r="AD13" i="3" s="1"/>
  <c r="AI12" i="3"/>
  <c r="AB12" i="3"/>
  <c r="AC12" i="3" s="1"/>
  <c r="AI11" i="3"/>
  <c r="AB11" i="3"/>
  <c r="AC11" i="3" s="1"/>
  <c r="AD11" i="3" s="1"/>
  <c r="AI10" i="3"/>
  <c r="AB10" i="3"/>
  <c r="AC10" i="3" s="1"/>
  <c r="AD10" i="3" s="1"/>
  <c r="AI9" i="3"/>
  <c r="AB9" i="3"/>
  <c r="AC9" i="3" s="1"/>
  <c r="AG33" i="3"/>
  <c r="AH33" i="3" s="1"/>
  <c r="AJ33" i="3" s="1"/>
  <c r="I17" i="11"/>
  <c r="BO40" i="5"/>
  <c r="BM12" i="5"/>
  <c r="BM25" i="5"/>
  <c r="BM40" i="5"/>
  <c r="AD15" i="3"/>
  <c r="AE19" i="3"/>
  <c r="AF33" i="3"/>
  <c r="M41" i="2"/>
  <c r="M40" i="2"/>
  <c r="M39" i="2"/>
  <c r="M38" i="2"/>
  <c r="M37" i="2"/>
  <c r="M36" i="2"/>
  <c r="M35" i="2"/>
  <c r="M33" i="2"/>
  <c r="M32" i="2"/>
  <c r="M31" i="2"/>
  <c r="M30" i="2"/>
  <c r="M29" i="2"/>
  <c r="M28" i="2"/>
  <c r="M27" i="2"/>
  <c r="M25" i="2"/>
  <c r="L25" i="2" s="1"/>
  <c r="M24" i="2"/>
  <c r="L24" i="2" s="1"/>
  <c r="M23" i="2"/>
  <c r="L23" i="2" s="1"/>
  <c r="M22" i="2"/>
  <c r="M21" i="2"/>
  <c r="M20" i="2"/>
  <c r="D15" i="11"/>
  <c r="M18" i="2"/>
  <c r="M16" i="2"/>
  <c r="L16" i="2" s="1"/>
  <c r="M15" i="2"/>
  <c r="M14" i="2"/>
  <c r="G14" i="2"/>
  <c r="M13" i="2"/>
  <c r="G13" i="2"/>
  <c r="M12" i="2"/>
  <c r="L12" i="2" s="1"/>
  <c r="M11" i="2"/>
  <c r="G11" i="2"/>
  <c r="M10" i="2"/>
  <c r="M9" i="2"/>
  <c r="L9" i="2" s="1"/>
  <c r="CN36" i="1"/>
  <c r="CN37" i="1"/>
  <c r="CN38" i="1"/>
  <c r="CN39" i="1"/>
  <c r="CN40" i="1"/>
  <c r="CN41" i="1"/>
  <c r="CN35" i="1"/>
  <c r="CN28" i="1"/>
  <c r="CN29" i="1"/>
  <c r="CN30" i="1"/>
  <c r="CN31" i="1"/>
  <c r="CN32" i="1"/>
  <c r="CN33" i="1"/>
  <c r="CN27" i="1"/>
  <c r="CN10" i="1"/>
  <c r="CN11" i="1"/>
  <c r="CN12" i="1"/>
  <c r="CN13" i="1"/>
  <c r="CN14" i="1"/>
  <c r="CN15" i="1"/>
  <c r="CN16" i="1"/>
  <c r="CN17" i="1"/>
  <c r="CN18" i="1"/>
  <c r="CN19" i="1"/>
  <c r="CN20" i="1"/>
  <c r="CN21" i="1"/>
  <c r="CN22" i="1"/>
  <c r="CN23" i="1"/>
  <c r="CN24" i="1"/>
  <c r="CN25" i="1"/>
  <c r="CN9" i="1"/>
  <c r="BX36" i="1"/>
  <c r="BX37" i="1"/>
  <c r="BX38" i="1"/>
  <c r="BX39" i="1"/>
  <c r="BX40" i="1"/>
  <c r="BX41" i="1"/>
  <c r="BX35" i="1"/>
  <c r="BX28" i="1"/>
  <c r="BX29" i="1"/>
  <c r="BX30" i="1"/>
  <c r="BX31" i="1"/>
  <c r="BX32" i="1"/>
  <c r="BX33" i="1"/>
  <c r="BW33" i="1" s="1"/>
  <c r="BX27" i="1"/>
  <c r="BX10" i="1"/>
  <c r="BX11" i="1"/>
  <c r="BX12" i="1"/>
  <c r="BX13" i="1"/>
  <c r="BX14" i="1"/>
  <c r="BX15" i="1"/>
  <c r="BX16" i="1"/>
  <c r="BX17" i="1"/>
  <c r="BX18" i="1"/>
  <c r="BX19" i="1"/>
  <c r="BX20" i="1"/>
  <c r="BX21" i="1"/>
  <c r="BX22" i="1"/>
  <c r="BX23" i="1"/>
  <c r="BX24" i="1"/>
  <c r="BX25" i="1"/>
  <c r="BX9" i="1"/>
  <c r="V41" i="1"/>
  <c r="V36" i="1"/>
  <c r="V37" i="1"/>
  <c r="V38" i="1"/>
  <c r="V39" i="1"/>
  <c r="V40" i="1"/>
  <c r="V35" i="1"/>
  <c r="V44" i="1" s="1"/>
  <c r="V28" i="1"/>
  <c r="V29" i="1"/>
  <c r="V30" i="1"/>
  <c r="V31" i="1"/>
  <c r="V32" i="1"/>
  <c r="V33" i="1"/>
  <c r="V27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9" i="1"/>
  <c r="DB36" i="1"/>
  <c r="DB37" i="1"/>
  <c r="DB38" i="1"/>
  <c r="DB39" i="1"/>
  <c r="DB40" i="1"/>
  <c r="DB41" i="1"/>
  <c r="DB35" i="1"/>
  <c r="DB28" i="1"/>
  <c r="DB29" i="1"/>
  <c r="DB30" i="1"/>
  <c r="DB31" i="1"/>
  <c r="DA31" i="1" s="1"/>
  <c r="DB32" i="1"/>
  <c r="DB33" i="1"/>
  <c r="DB27" i="1"/>
  <c r="DB10" i="1"/>
  <c r="DB11" i="1"/>
  <c r="DB12" i="1"/>
  <c r="DB13" i="1"/>
  <c r="DB14" i="1"/>
  <c r="DB15" i="1"/>
  <c r="DB16" i="1"/>
  <c r="DB17" i="1"/>
  <c r="DB18" i="1"/>
  <c r="DB19" i="1"/>
  <c r="DB20" i="1"/>
  <c r="DB21" i="1"/>
  <c r="DB22" i="1"/>
  <c r="DB23" i="1"/>
  <c r="DB24" i="1"/>
  <c r="DB25" i="1"/>
  <c r="DB9" i="1"/>
  <c r="DP36" i="1"/>
  <c r="DP37" i="1"/>
  <c r="DP38" i="1"/>
  <c r="DP39" i="1"/>
  <c r="DO39" i="1" s="1"/>
  <c r="DP40" i="1"/>
  <c r="DO40" i="1" s="1"/>
  <c r="DP41" i="1"/>
  <c r="DP35" i="1"/>
  <c r="DP28" i="1"/>
  <c r="DP29" i="1"/>
  <c r="DP30" i="1"/>
  <c r="DP31" i="1"/>
  <c r="DP32" i="1"/>
  <c r="DP33" i="1"/>
  <c r="DP27" i="1"/>
  <c r="DP10" i="1"/>
  <c r="DP11" i="1"/>
  <c r="DP12" i="1"/>
  <c r="DP13" i="1"/>
  <c r="DP14" i="1"/>
  <c r="DP15" i="1"/>
  <c r="DP16" i="1"/>
  <c r="DP17" i="1"/>
  <c r="DP18" i="1"/>
  <c r="DP19" i="1"/>
  <c r="DP20" i="1"/>
  <c r="DP21" i="1"/>
  <c r="DP22" i="1"/>
  <c r="DP23" i="1"/>
  <c r="DP24" i="1"/>
  <c r="DP25" i="1"/>
  <c r="DP9" i="1"/>
  <c r="CH36" i="1"/>
  <c r="CH37" i="1"/>
  <c r="CH38" i="1"/>
  <c r="CJ38" i="1" s="1"/>
  <c r="CL38" i="1" s="1"/>
  <c r="CM38" i="1" s="1"/>
  <c r="CH39" i="1"/>
  <c r="CJ39" i="1" s="1"/>
  <c r="CL39" i="1" s="1"/>
  <c r="CH40" i="1"/>
  <c r="CH41" i="1"/>
  <c r="CH35" i="1"/>
  <c r="CJ35" i="1" s="1"/>
  <c r="CL35" i="1" s="1"/>
  <c r="CM35" i="1" s="1"/>
  <c r="CH28" i="1"/>
  <c r="CH29" i="1"/>
  <c r="CJ29" i="1" s="1"/>
  <c r="CL29" i="1" s="1"/>
  <c r="CH30" i="1"/>
  <c r="CJ30" i="1" s="1"/>
  <c r="CL30" i="1" s="1"/>
  <c r="CM30" i="1" s="1"/>
  <c r="CH31" i="1"/>
  <c r="CJ31" i="1" s="1"/>
  <c r="CL31" i="1" s="1"/>
  <c r="CH32" i="1"/>
  <c r="CJ32" i="1" s="1"/>
  <c r="CL32" i="1" s="1"/>
  <c r="CM32" i="1" s="1"/>
  <c r="CH33" i="1"/>
  <c r="CJ33" i="1" s="1"/>
  <c r="CL33" i="1" s="1"/>
  <c r="CM33" i="1" s="1"/>
  <c r="CH27" i="1"/>
  <c r="CH10" i="1"/>
  <c r="CI10" i="1" s="1"/>
  <c r="CH11" i="1"/>
  <c r="CI11" i="1" s="1"/>
  <c r="CH12" i="1"/>
  <c r="CH13" i="1"/>
  <c r="CH14" i="1"/>
  <c r="CJ14" i="1" s="1"/>
  <c r="CH15" i="1"/>
  <c r="CH16" i="1"/>
  <c r="CJ16" i="1" s="1"/>
  <c r="CH17" i="1"/>
  <c r="CI17" i="1" s="1"/>
  <c r="CH18" i="1"/>
  <c r="CI18" i="1" s="1"/>
  <c r="CH19" i="1"/>
  <c r="CJ19" i="1" s="1"/>
  <c r="CK19" i="1" s="1"/>
  <c r="CH20" i="1"/>
  <c r="CH21" i="1"/>
  <c r="CH22" i="1"/>
  <c r="CI22" i="1" s="1"/>
  <c r="CH23" i="1"/>
  <c r="CI23" i="1" s="1"/>
  <c r="CH24" i="1"/>
  <c r="CH25" i="1"/>
  <c r="CH9" i="1"/>
  <c r="CI9" i="1" s="1"/>
  <c r="P41" i="1"/>
  <c r="EF31" i="1"/>
  <c r="EG31" i="1" s="1"/>
  <c r="EH31" i="1" s="1"/>
  <c r="DL36" i="1"/>
  <c r="DM36" i="1" s="1"/>
  <c r="DN36" i="1" s="1"/>
  <c r="DO36" i="1" s="1"/>
  <c r="DL37" i="1"/>
  <c r="DM37" i="1" s="1"/>
  <c r="DN37" i="1" s="1"/>
  <c r="DO37" i="1" s="1"/>
  <c r="DL38" i="1"/>
  <c r="DM38" i="1" s="1"/>
  <c r="DN38" i="1" s="1"/>
  <c r="DO38" i="1" s="1"/>
  <c r="DL39" i="1"/>
  <c r="DL40" i="1"/>
  <c r="DL41" i="1"/>
  <c r="DL35" i="1"/>
  <c r="DM35" i="1" s="1"/>
  <c r="DN35" i="1" s="1"/>
  <c r="DL28" i="1"/>
  <c r="DL29" i="1"/>
  <c r="DL30" i="1"/>
  <c r="DL31" i="1"/>
  <c r="DL32" i="1"/>
  <c r="DM32" i="1" s="1"/>
  <c r="DN32" i="1" s="1"/>
  <c r="DO32" i="1" s="1"/>
  <c r="DL33" i="1"/>
  <c r="DM33" i="1" s="1"/>
  <c r="DN33" i="1" s="1"/>
  <c r="DO33" i="1" s="1"/>
  <c r="DL27" i="1"/>
  <c r="DM27" i="1" s="1"/>
  <c r="DN27" i="1" s="1"/>
  <c r="DL10" i="1"/>
  <c r="DM10" i="1" s="1"/>
  <c r="DN10" i="1" s="1"/>
  <c r="DO10" i="1" s="1"/>
  <c r="DL11" i="1"/>
  <c r="DL12" i="1"/>
  <c r="DL13" i="1"/>
  <c r="DL14" i="1"/>
  <c r="DL15" i="1"/>
  <c r="DM15" i="1" s="1"/>
  <c r="DN15" i="1" s="1"/>
  <c r="DL16" i="1"/>
  <c r="DL17" i="1"/>
  <c r="DM17" i="1" s="1"/>
  <c r="DN17" i="1" s="1"/>
  <c r="DL18" i="1"/>
  <c r="DL19" i="1"/>
  <c r="DM19" i="1" s="1"/>
  <c r="DN19" i="1" s="1"/>
  <c r="DO19" i="1" s="1"/>
  <c r="DL20" i="1"/>
  <c r="DM20" i="1" s="1"/>
  <c r="DN20" i="1" s="1"/>
  <c r="DO20" i="1" s="1"/>
  <c r="DL21" i="1"/>
  <c r="DM21" i="1" s="1"/>
  <c r="DN21" i="1" s="1"/>
  <c r="DO21" i="1" s="1"/>
  <c r="DL22" i="1"/>
  <c r="DM22" i="1" s="1"/>
  <c r="DN22" i="1" s="1"/>
  <c r="DO22" i="1" s="1"/>
  <c r="DL23" i="1"/>
  <c r="DM23" i="1" s="1"/>
  <c r="DN23" i="1" s="1"/>
  <c r="DL24" i="1"/>
  <c r="DL25" i="1"/>
  <c r="DM25" i="1" s="1"/>
  <c r="DN25" i="1" s="1"/>
  <c r="DL9" i="1"/>
  <c r="CX36" i="1"/>
  <c r="CY36" i="1" s="1"/>
  <c r="CZ36" i="1" s="1"/>
  <c r="CX37" i="1"/>
  <c r="CX38" i="1"/>
  <c r="CX39" i="1"/>
  <c r="CX40" i="1"/>
  <c r="CY40" i="1" s="1"/>
  <c r="CZ40" i="1" s="1"/>
  <c r="DA40" i="1" s="1"/>
  <c r="CX41" i="1"/>
  <c r="CY41" i="1" s="1"/>
  <c r="CZ41" i="1" s="1"/>
  <c r="CX35" i="1"/>
  <c r="CY35" i="1" s="1"/>
  <c r="CZ35" i="1" s="1"/>
  <c r="DA35" i="1" s="1"/>
  <c r="CX28" i="1"/>
  <c r="CY28" i="1" s="1"/>
  <c r="CZ28" i="1" s="1"/>
  <c r="DA28" i="1" s="1"/>
  <c r="CX29" i="1"/>
  <c r="CY29" i="1" s="1"/>
  <c r="CZ29" i="1" s="1"/>
  <c r="DA29" i="1" s="1"/>
  <c r="CX30" i="1"/>
  <c r="CX31" i="1"/>
  <c r="CY31" i="1" s="1"/>
  <c r="CZ31" i="1" s="1"/>
  <c r="CX32" i="1"/>
  <c r="CY32" i="1" s="1"/>
  <c r="CZ32" i="1" s="1"/>
  <c r="CX33" i="1"/>
  <c r="CY33" i="1" s="1"/>
  <c r="CZ33" i="1" s="1"/>
  <c r="CX27" i="1"/>
  <c r="CX10" i="1"/>
  <c r="CY10" i="1" s="1"/>
  <c r="CZ10" i="1" s="1"/>
  <c r="DA10" i="1" s="1"/>
  <c r="CX11" i="1"/>
  <c r="CX12" i="1"/>
  <c r="CY12" i="1" s="1"/>
  <c r="CZ12" i="1" s="1"/>
  <c r="DA12" i="1" s="1"/>
  <c r="CX13" i="1"/>
  <c r="CY13" i="1" s="1"/>
  <c r="CZ13" i="1" s="1"/>
  <c r="DA13" i="1" s="1"/>
  <c r="CX14" i="1"/>
  <c r="CY14" i="1" s="1"/>
  <c r="CZ14" i="1" s="1"/>
  <c r="DA14" i="1" s="1"/>
  <c r="CX15" i="1"/>
  <c r="CY15" i="1" s="1"/>
  <c r="CZ15" i="1" s="1"/>
  <c r="DA15" i="1" s="1"/>
  <c r="CX16" i="1"/>
  <c r="CX17" i="1"/>
  <c r="CX18" i="1"/>
  <c r="CX19" i="1"/>
  <c r="CY19" i="1" s="1"/>
  <c r="CZ19" i="1" s="1"/>
  <c r="CX20" i="1"/>
  <c r="CY20" i="1" s="1"/>
  <c r="CZ20" i="1" s="1"/>
  <c r="CX21" i="1"/>
  <c r="CX22" i="1"/>
  <c r="CY22" i="1" s="1"/>
  <c r="CZ22" i="1" s="1"/>
  <c r="DA22" i="1" s="1"/>
  <c r="CX23" i="1"/>
  <c r="CX24" i="1"/>
  <c r="CY24" i="1" s="1"/>
  <c r="CZ24" i="1" s="1"/>
  <c r="DA24" i="1" s="1"/>
  <c r="CX25" i="1"/>
  <c r="CY25" i="1" s="1"/>
  <c r="CZ25" i="1" s="1"/>
  <c r="CX9" i="1"/>
  <c r="CY9" i="1" s="1"/>
  <c r="CZ9" i="1" s="1"/>
  <c r="DA9" i="1" s="1"/>
  <c r="BR36" i="1"/>
  <c r="BT36" i="1" s="1"/>
  <c r="BR37" i="1"/>
  <c r="BR38" i="1"/>
  <c r="BR39" i="1"/>
  <c r="BS39" i="1" s="1"/>
  <c r="BR40" i="1"/>
  <c r="BS40" i="1" s="1"/>
  <c r="BR41" i="1"/>
  <c r="BT41" i="1" s="1"/>
  <c r="BR35" i="1"/>
  <c r="BR28" i="1"/>
  <c r="BS28" i="1" s="1"/>
  <c r="BR29" i="1"/>
  <c r="BS29" i="1" s="1"/>
  <c r="BR30" i="1"/>
  <c r="BS30" i="1" s="1"/>
  <c r="BR31" i="1"/>
  <c r="BS31" i="1" s="1"/>
  <c r="BR32" i="1"/>
  <c r="BT32" i="1" s="1"/>
  <c r="BR33" i="1"/>
  <c r="BS33" i="1" s="1"/>
  <c r="BR27" i="1"/>
  <c r="BR10" i="1"/>
  <c r="BS10" i="1" s="1"/>
  <c r="BR11" i="1"/>
  <c r="BS11" i="1" s="1"/>
  <c r="BR12" i="1"/>
  <c r="BS12" i="1" s="1"/>
  <c r="BR13" i="1"/>
  <c r="BR14" i="1"/>
  <c r="BT14" i="1" s="1"/>
  <c r="BR15" i="1"/>
  <c r="BR16" i="1"/>
  <c r="BS16" i="1" s="1"/>
  <c r="BR17" i="1"/>
  <c r="BS17" i="1" s="1"/>
  <c r="BR18" i="1"/>
  <c r="BS18" i="1" s="1"/>
  <c r="BR19" i="1"/>
  <c r="BT19" i="1" s="1"/>
  <c r="BR20" i="1"/>
  <c r="BS20" i="1" s="1"/>
  <c r="BR21" i="1"/>
  <c r="BS21" i="1" s="1"/>
  <c r="BR22" i="1"/>
  <c r="BS22" i="1" s="1"/>
  <c r="BR23" i="1"/>
  <c r="BT23" i="1" s="1"/>
  <c r="BR24" i="1"/>
  <c r="BS24" i="1" s="1"/>
  <c r="BR25" i="1"/>
  <c r="BS25" i="1" s="1"/>
  <c r="BR9" i="1"/>
  <c r="AY36" i="1"/>
  <c r="AY37" i="1"/>
  <c r="AY38" i="1"/>
  <c r="BA38" i="1" s="1"/>
  <c r="AY39" i="1"/>
  <c r="BA39" i="1" s="1"/>
  <c r="BC39" i="1" s="1"/>
  <c r="BD39" i="1" s="1"/>
  <c r="AY40" i="1"/>
  <c r="BA40" i="1" s="1"/>
  <c r="AY41" i="1"/>
  <c r="AZ41" i="1" s="1"/>
  <c r="AY35" i="1"/>
  <c r="AY28" i="1"/>
  <c r="AZ28" i="1" s="1"/>
  <c r="AY29" i="1"/>
  <c r="AZ29" i="1" s="1"/>
  <c r="AY30" i="1"/>
  <c r="AZ30" i="1" s="1"/>
  <c r="AY31" i="1"/>
  <c r="AZ31" i="1" s="1"/>
  <c r="AY32" i="1"/>
  <c r="AZ32" i="1" s="1"/>
  <c r="AY33" i="1"/>
  <c r="AY27" i="1"/>
  <c r="BA27" i="1" s="1"/>
  <c r="BC27" i="1" s="1"/>
  <c r="BD27" i="1" s="1"/>
  <c r="AY15" i="1"/>
  <c r="AZ15" i="1" s="1"/>
  <c r="AY16" i="1"/>
  <c r="BA16" i="1" s="1"/>
  <c r="BB16" i="1" s="1"/>
  <c r="AY17" i="1"/>
  <c r="BA17" i="1" s="1"/>
  <c r="AY18" i="1"/>
  <c r="AZ18" i="1" s="1"/>
  <c r="AY19" i="1"/>
  <c r="AY20" i="1"/>
  <c r="AZ20" i="1" s="1"/>
  <c r="AY21" i="1"/>
  <c r="AZ21" i="1" s="1"/>
  <c r="AY22" i="1"/>
  <c r="AZ22" i="1" s="1"/>
  <c r="AY23" i="1"/>
  <c r="AY24" i="1"/>
  <c r="BA24" i="1" s="1"/>
  <c r="AY25" i="1"/>
  <c r="AY10" i="1"/>
  <c r="AZ10" i="1" s="1"/>
  <c r="AY11" i="1"/>
  <c r="AZ11" i="1" s="1"/>
  <c r="AY12" i="1"/>
  <c r="AZ12" i="1" s="1"/>
  <c r="AY13" i="1"/>
  <c r="AZ13" i="1" s="1"/>
  <c r="AY14" i="1"/>
  <c r="AZ14" i="1" s="1"/>
  <c r="AY9" i="1"/>
  <c r="P36" i="1"/>
  <c r="Q36" i="1" s="1"/>
  <c r="P37" i="1"/>
  <c r="Q37" i="1" s="1"/>
  <c r="P38" i="1"/>
  <c r="Q38" i="1" s="1"/>
  <c r="P39" i="1"/>
  <c r="Q39" i="1"/>
  <c r="P40" i="1"/>
  <c r="Q40" i="1" s="1"/>
  <c r="P35" i="1"/>
  <c r="Q35" i="1"/>
  <c r="P28" i="1"/>
  <c r="Q28" i="1" s="1"/>
  <c r="P29" i="1"/>
  <c r="Q29" i="1" s="1"/>
  <c r="P30" i="1"/>
  <c r="Q30" i="1" s="1"/>
  <c r="P31" i="1"/>
  <c r="Q31" i="1" s="1"/>
  <c r="P32" i="1"/>
  <c r="Q32" i="1" s="1"/>
  <c r="P33" i="1"/>
  <c r="Q33" i="1" s="1"/>
  <c r="P27" i="1"/>
  <c r="Q27" i="1" s="1"/>
  <c r="P11" i="1"/>
  <c r="Q11" i="1" s="1"/>
  <c r="P12" i="1"/>
  <c r="Q12" i="1" s="1"/>
  <c r="P13" i="1"/>
  <c r="Q13" i="1" s="1"/>
  <c r="P14" i="1"/>
  <c r="Q14" i="1" s="1"/>
  <c r="P15" i="1"/>
  <c r="Q15" i="1" s="1"/>
  <c r="P16" i="1"/>
  <c r="Q16" i="1" s="1"/>
  <c r="P17" i="1"/>
  <c r="Q17" i="1" s="1"/>
  <c r="P18" i="1"/>
  <c r="Q18" i="1" s="1"/>
  <c r="P19" i="1"/>
  <c r="Q19" i="1" s="1"/>
  <c r="P20" i="1"/>
  <c r="Q20" i="1" s="1"/>
  <c r="P21" i="1"/>
  <c r="Q21" i="1" s="1"/>
  <c r="P22" i="1"/>
  <c r="Q22" i="1" s="1"/>
  <c r="P23" i="1"/>
  <c r="Q23" i="1" s="1"/>
  <c r="P24" i="1"/>
  <c r="Q24" i="1" s="1"/>
  <c r="P25" i="1"/>
  <c r="Q25" i="1" s="1"/>
  <c r="P10" i="1"/>
  <c r="Q10" i="1" s="1"/>
  <c r="P9" i="1"/>
  <c r="Q9" i="1" s="1"/>
  <c r="BU31" i="1"/>
  <c r="EJ36" i="1"/>
  <c r="EJ37" i="1"/>
  <c r="EJ38" i="1"/>
  <c r="EJ39" i="1"/>
  <c r="EJ40" i="1"/>
  <c r="EJ41" i="1"/>
  <c r="EJ35" i="1"/>
  <c r="EJ28" i="1"/>
  <c r="EJ29" i="1"/>
  <c r="EJ30" i="1"/>
  <c r="EJ31" i="1"/>
  <c r="EJ32" i="1"/>
  <c r="EJ33" i="1"/>
  <c r="EJ27" i="1"/>
  <c r="EJ10" i="1"/>
  <c r="EJ11" i="1"/>
  <c r="EJ12" i="1"/>
  <c r="EJ13" i="1"/>
  <c r="EJ14" i="1"/>
  <c r="EJ15" i="1"/>
  <c r="EJ16" i="1"/>
  <c r="EJ17" i="1"/>
  <c r="EJ18" i="1"/>
  <c r="EJ19" i="1"/>
  <c r="EJ20" i="1"/>
  <c r="EI20" i="1" s="1"/>
  <c r="EJ21" i="1"/>
  <c r="EJ22" i="1"/>
  <c r="EJ23" i="1"/>
  <c r="EJ24" i="1"/>
  <c r="EJ25" i="1"/>
  <c r="EJ9" i="1"/>
  <c r="EE36" i="1"/>
  <c r="EF36" i="1" s="1"/>
  <c r="EG36" i="1" s="1"/>
  <c r="EH36" i="1" s="1"/>
  <c r="EE37" i="1"/>
  <c r="EF37" i="1" s="1"/>
  <c r="EG37" i="1" s="1"/>
  <c r="EH37" i="1" s="1"/>
  <c r="EI37" i="1" s="1"/>
  <c r="EE38" i="1"/>
  <c r="EF38" i="1" s="1"/>
  <c r="EG38" i="1" s="1"/>
  <c r="EH38" i="1" s="1"/>
  <c r="EE39" i="1"/>
  <c r="EF39" i="1" s="1"/>
  <c r="EG39" i="1" s="1"/>
  <c r="EH39" i="1" s="1"/>
  <c r="EE40" i="1"/>
  <c r="EF40" i="1" s="1"/>
  <c r="EG40" i="1" s="1"/>
  <c r="EH40" i="1" s="1"/>
  <c r="EI40" i="1" s="1"/>
  <c r="EE41" i="1"/>
  <c r="EF41" i="1" s="1"/>
  <c r="EG41" i="1" s="1"/>
  <c r="EH41" i="1" s="1"/>
  <c r="EE35" i="1"/>
  <c r="EF35" i="1" s="1"/>
  <c r="EG35" i="1" s="1"/>
  <c r="EH35" i="1" s="1"/>
  <c r="EE28" i="1"/>
  <c r="EF28" i="1" s="1"/>
  <c r="EG28" i="1" s="1"/>
  <c r="EH28" i="1" s="1"/>
  <c r="EE29" i="1"/>
  <c r="EF29" i="1" s="1"/>
  <c r="EG29" i="1" s="1"/>
  <c r="EH29" i="1" s="1"/>
  <c r="EE30" i="1"/>
  <c r="EF30" i="1" s="1"/>
  <c r="EG30" i="1" s="1"/>
  <c r="EE32" i="1"/>
  <c r="EF32" i="1" s="1"/>
  <c r="EG32" i="1" s="1"/>
  <c r="EH32" i="1" s="1"/>
  <c r="EE33" i="1"/>
  <c r="EF33" i="1" s="1"/>
  <c r="EG33" i="1" s="1"/>
  <c r="EH33" i="1" s="1"/>
  <c r="EE27" i="1"/>
  <c r="EF27" i="1" s="1"/>
  <c r="EG27" i="1" s="1"/>
  <c r="EH27" i="1" s="1"/>
  <c r="EI27" i="1" s="1"/>
  <c r="EE10" i="1"/>
  <c r="EF10" i="1" s="1"/>
  <c r="EG10" i="1" s="1"/>
  <c r="EH10" i="1" s="1"/>
  <c r="EI10" i="1" s="1"/>
  <c r="EE11" i="1"/>
  <c r="EF11" i="1" s="1"/>
  <c r="EG11" i="1" s="1"/>
  <c r="EH11" i="1" s="1"/>
  <c r="EE12" i="1"/>
  <c r="EF12" i="1" s="1"/>
  <c r="EG12" i="1" s="1"/>
  <c r="EH12" i="1" s="1"/>
  <c r="EI12" i="1" s="1"/>
  <c r="EE13" i="1"/>
  <c r="EF13" i="1" s="1"/>
  <c r="EG13" i="1" s="1"/>
  <c r="EH13" i="1" s="1"/>
  <c r="EE14" i="1"/>
  <c r="EF14" i="1" s="1"/>
  <c r="EG14" i="1" s="1"/>
  <c r="EH14" i="1" s="1"/>
  <c r="EE15" i="1"/>
  <c r="EF15" i="1" s="1"/>
  <c r="EG15" i="1" s="1"/>
  <c r="EH15" i="1" s="1"/>
  <c r="EE16" i="1"/>
  <c r="EF16" i="1" s="1"/>
  <c r="EG16" i="1" s="1"/>
  <c r="EH16" i="1" s="1"/>
  <c r="EE17" i="1"/>
  <c r="EF17" i="1" s="1"/>
  <c r="EG17" i="1" s="1"/>
  <c r="EH17" i="1" s="1"/>
  <c r="EE18" i="1"/>
  <c r="EF18" i="1" s="1"/>
  <c r="EG18" i="1" s="1"/>
  <c r="EE19" i="1"/>
  <c r="EF19" i="1" s="1"/>
  <c r="EG19" i="1" s="1"/>
  <c r="EH19" i="1" s="1"/>
  <c r="EI19" i="1" s="1"/>
  <c r="EE20" i="1"/>
  <c r="EF20" i="1" s="1"/>
  <c r="EG20" i="1" s="1"/>
  <c r="EH20" i="1" s="1"/>
  <c r="EE21" i="1"/>
  <c r="EF21" i="1" s="1"/>
  <c r="EG21" i="1" s="1"/>
  <c r="EH21" i="1" s="1"/>
  <c r="EI21" i="1" s="1"/>
  <c r="EE22" i="1"/>
  <c r="EF22" i="1" s="1"/>
  <c r="EG22" i="1" s="1"/>
  <c r="EH22" i="1" s="1"/>
  <c r="EI22" i="1" s="1"/>
  <c r="EE23" i="1"/>
  <c r="EF23" i="1" s="1"/>
  <c r="EG23" i="1" s="1"/>
  <c r="EH23" i="1" s="1"/>
  <c r="EE24" i="1"/>
  <c r="EF24" i="1" s="1"/>
  <c r="EG24" i="1" s="1"/>
  <c r="EH24" i="1" s="1"/>
  <c r="EI24" i="1" s="1"/>
  <c r="EE25" i="1"/>
  <c r="EF25" i="1" s="1"/>
  <c r="EG25" i="1" s="1"/>
  <c r="EH25" i="1" s="1"/>
  <c r="EE9" i="1"/>
  <c r="EF9" i="1" s="1"/>
  <c r="EG9" i="1" s="1"/>
  <c r="EH9" i="1" s="1"/>
  <c r="AL36" i="1"/>
  <c r="AL37" i="1"/>
  <c r="AL38" i="1"/>
  <c r="AL39" i="1"/>
  <c r="AL40" i="1"/>
  <c r="AL41" i="1"/>
  <c r="AL35" i="1"/>
  <c r="AL28" i="1"/>
  <c r="AL29" i="1"/>
  <c r="AL30" i="1"/>
  <c r="AL31" i="1"/>
  <c r="AL32" i="1"/>
  <c r="AL33" i="1"/>
  <c r="AL27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9" i="1"/>
  <c r="AE36" i="1"/>
  <c r="AF36" i="1" s="1"/>
  <c r="AE37" i="1"/>
  <c r="AJ37" i="1" s="1"/>
  <c r="AK37" i="1" s="1"/>
  <c r="AE38" i="1"/>
  <c r="AF38" i="1" s="1"/>
  <c r="AH38" i="1" s="1"/>
  <c r="AE39" i="1"/>
  <c r="AF39" i="1" s="1"/>
  <c r="AE40" i="1"/>
  <c r="AF40" i="1" s="1"/>
  <c r="AE41" i="1"/>
  <c r="AF41" i="1" s="1"/>
  <c r="AG41" i="1" s="1"/>
  <c r="AE35" i="1"/>
  <c r="AE28" i="1"/>
  <c r="AF28" i="1" s="1"/>
  <c r="AE29" i="1"/>
  <c r="AE30" i="1"/>
  <c r="AF30" i="1" s="1"/>
  <c r="AH30" i="1" s="1"/>
  <c r="AI30" i="1" s="1"/>
  <c r="AE32" i="1"/>
  <c r="AF32" i="1" s="1"/>
  <c r="AE33" i="1"/>
  <c r="AF33" i="1" s="1"/>
  <c r="AE27" i="1"/>
  <c r="AF27" i="1" s="1"/>
  <c r="AE10" i="1"/>
  <c r="AF10" i="1" s="1"/>
  <c r="AE11" i="1"/>
  <c r="AF11" i="1" s="1"/>
  <c r="AE12" i="1"/>
  <c r="AF12" i="1" s="1"/>
  <c r="AG12" i="1" s="1"/>
  <c r="AE13" i="1"/>
  <c r="AF13" i="1" s="1"/>
  <c r="AE14" i="1"/>
  <c r="AF14" i="1" s="1"/>
  <c r="AE15" i="1"/>
  <c r="AF15" i="1" s="1"/>
  <c r="AE16" i="1"/>
  <c r="AF16" i="1" s="1"/>
  <c r="AE17" i="1"/>
  <c r="AE18" i="1"/>
  <c r="AF18" i="1" s="1"/>
  <c r="AE19" i="1"/>
  <c r="AF19" i="1" s="1"/>
  <c r="AG19" i="1" s="1"/>
  <c r="AE20" i="1"/>
  <c r="AF20" i="1" s="1"/>
  <c r="AE21" i="1"/>
  <c r="AF21" i="1" s="1"/>
  <c r="AE22" i="1"/>
  <c r="AF22" i="1" s="1"/>
  <c r="AE23" i="1"/>
  <c r="AF23" i="1" s="1"/>
  <c r="AE24" i="1"/>
  <c r="AF24" i="1" s="1"/>
  <c r="AE25" i="1"/>
  <c r="AF25" i="1" s="1"/>
  <c r="AG25" i="1" s="1"/>
  <c r="AE9" i="1"/>
  <c r="AF9" i="1" s="1"/>
  <c r="AG9" i="1" s="1"/>
  <c r="BS37" i="1"/>
  <c r="BS38" i="1"/>
  <c r="BS41" i="1"/>
  <c r="BS35" i="1"/>
  <c r="BS27" i="1"/>
  <c r="BS13" i="1"/>
  <c r="BS15" i="1"/>
  <c r="BS9" i="1"/>
  <c r="AZ36" i="1"/>
  <c r="AZ37" i="1"/>
  <c r="AZ39" i="1"/>
  <c r="AZ35" i="1"/>
  <c r="AZ33" i="1"/>
  <c r="AZ19" i="1"/>
  <c r="AZ23" i="1"/>
  <c r="AZ25" i="1"/>
  <c r="AZ9" i="1"/>
  <c r="AF37" i="1"/>
  <c r="AG37" i="1" s="1"/>
  <c r="AF35" i="1"/>
  <c r="AG35" i="1" s="1"/>
  <c r="AF29" i="1"/>
  <c r="AH29" i="1" s="1"/>
  <c r="AF31" i="1"/>
  <c r="AF17" i="1"/>
  <c r="AG17" i="1" s="1"/>
  <c r="Q41" i="1"/>
  <c r="AH31" i="1"/>
  <c r="AI31" i="1" s="1"/>
  <c r="AG31" i="1"/>
  <c r="AH35" i="1"/>
  <c r="AH41" i="1"/>
  <c r="BK17" i="1"/>
  <c r="CI12" i="1"/>
  <c r="CI13" i="1"/>
  <c r="CI15" i="1"/>
  <c r="CI20" i="1"/>
  <c r="CI21" i="1"/>
  <c r="CI24" i="1"/>
  <c r="CI25" i="1"/>
  <c r="BK36" i="1"/>
  <c r="BK37" i="1"/>
  <c r="BK38" i="1"/>
  <c r="BK39" i="1"/>
  <c r="BK40" i="1"/>
  <c r="BK41" i="1"/>
  <c r="BK35" i="1"/>
  <c r="BK28" i="1"/>
  <c r="BK29" i="1"/>
  <c r="BK30" i="1"/>
  <c r="BK32" i="1"/>
  <c r="BK33" i="1"/>
  <c r="BK27" i="1"/>
  <c r="BK10" i="1"/>
  <c r="BK11" i="1"/>
  <c r="BK12" i="1"/>
  <c r="BK13" i="1"/>
  <c r="BK14" i="1"/>
  <c r="BK15" i="1"/>
  <c r="BK16" i="1"/>
  <c r="BK18" i="1"/>
  <c r="BK19" i="1"/>
  <c r="BK20" i="1"/>
  <c r="BK21" i="1"/>
  <c r="BK22" i="1"/>
  <c r="BK23" i="1"/>
  <c r="BK24" i="1"/>
  <c r="BK25" i="1"/>
  <c r="BK9" i="1"/>
  <c r="EP36" i="1"/>
  <c r="EP37" i="1"/>
  <c r="EP38" i="1"/>
  <c r="EP39" i="1"/>
  <c r="EP40" i="1"/>
  <c r="EP41" i="1"/>
  <c r="EP35" i="1"/>
  <c r="EP34" i="1"/>
  <c r="EP28" i="1"/>
  <c r="EP29" i="1"/>
  <c r="EP30" i="1"/>
  <c r="EP31" i="1"/>
  <c r="EP32" i="1"/>
  <c r="EP33" i="1"/>
  <c r="EP27" i="1"/>
  <c r="EP26" i="1"/>
  <c r="EP11" i="1"/>
  <c r="EP12" i="1"/>
  <c r="EP13" i="1"/>
  <c r="EP14" i="1"/>
  <c r="EP15" i="1"/>
  <c r="EP16" i="1"/>
  <c r="EP17" i="1"/>
  <c r="EP18" i="1"/>
  <c r="EP19" i="1"/>
  <c r="EP20" i="1"/>
  <c r="EP21" i="1"/>
  <c r="EP22" i="1"/>
  <c r="EP23" i="1"/>
  <c r="EP24" i="1"/>
  <c r="EP25" i="1"/>
  <c r="EP10" i="1"/>
  <c r="EP9" i="1"/>
  <c r="DM31" i="1"/>
  <c r="DN31" i="1" s="1"/>
  <c r="DO31" i="1" s="1"/>
  <c r="EH30" i="1"/>
  <c r="EH18" i="1"/>
  <c r="DM30" i="1"/>
  <c r="DN30" i="1" s="1"/>
  <c r="DM41" i="1"/>
  <c r="DN41" i="1" s="1"/>
  <c r="DM40" i="1"/>
  <c r="DN40" i="1" s="1"/>
  <c r="DM39" i="1"/>
  <c r="DN39" i="1" s="1"/>
  <c r="DM29" i="1"/>
  <c r="DN29" i="1" s="1"/>
  <c r="DO29" i="1" s="1"/>
  <c r="DM28" i="1"/>
  <c r="DN28" i="1"/>
  <c r="DO28" i="1" s="1"/>
  <c r="DM24" i="1"/>
  <c r="DN24" i="1" s="1"/>
  <c r="DM18" i="1"/>
  <c r="DN18" i="1" s="1"/>
  <c r="DM16" i="1"/>
  <c r="DN16" i="1"/>
  <c r="DO16" i="1" s="1"/>
  <c r="DM14" i="1"/>
  <c r="DN14" i="1" s="1"/>
  <c r="DM13" i="1"/>
  <c r="DN13" i="1" s="1"/>
  <c r="DM12" i="1"/>
  <c r="DN12" i="1" s="1"/>
  <c r="DM11" i="1"/>
  <c r="DN11" i="1" s="1"/>
  <c r="DM9" i="1"/>
  <c r="DN9" i="1" s="1"/>
  <c r="CY39" i="1"/>
  <c r="CZ39" i="1" s="1"/>
  <c r="DA39" i="1" s="1"/>
  <c r="CY38" i="1"/>
  <c r="CZ38" i="1" s="1"/>
  <c r="DA38" i="1" s="1"/>
  <c r="CY37" i="1"/>
  <c r="CZ37" i="1" s="1"/>
  <c r="CY30" i="1"/>
  <c r="CZ30" i="1" s="1"/>
  <c r="DA30" i="1" s="1"/>
  <c r="CY27" i="1"/>
  <c r="CZ27" i="1" s="1"/>
  <c r="CY23" i="1"/>
  <c r="CZ23" i="1" s="1"/>
  <c r="DA23" i="1" s="1"/>
  <c r="CY21" i="1"/>
  <c r="CZ21" i="1" s="1"/>
  <c r="CY18" i="1"/>
  <c r="CZ18" i="1" s="1"/>
  <c r="DA18" i="1" s="1"/>
  <c r="CY17" i="1"/>
  <c r="CZ17" i="1" s="1"/>
  <c r="DA17" i="1" s="1"/>
  <c r="CY16" i="1"/>
  <c r="CZ16" i="1" s="1"/>
  <c r="DA16" i="1" s="1"/>
  <c r="CY11" i="1"/>
  <c r="CZ11" i="1" s="1"/>
  <c r="DA11" i="1" s="1"/>
  <c r="EI41" i="1"/>
  <c r="CJ36" i="1"/>
  <c r="CL36" i="1" s="1"/>
  <c r="CM36" i="1" s="1"/>
  <c r="CJ20" i="1"/>
  <c r="CL20" i="1" s="1"/>
  <c r="CM20" i="1" s="1"/>
  <c r="CJ13" i="1"/>
  <c r="CK13" i="1" s="1"/>
  <c r="CJ12" i="1"/>
  <c r="CL12" i="1" s="1"/>
  <c r="CM12" i="1" s="1"/>
  <c r="CJ41" i="1"/>
  <c r="CL41" i="1" s="1"/>
  <c r="CJ40" i="1"/>
  <c r="CL40" i="1" s="1"/>
  <c r="CM40" i="1" s="1"/>
  <c r="CJ37" i="1"/>
  <c r="CL37" i="1" s="1"/>
  <c r="CM37" i="1" s="1"/>
  <c r="CJ28" i="1"/>
  <c r="CL28" i="1" s="1"/>
  <c r="CJ27" i="1"/>
  <c r="CL27" i="1" s="1"/>
  <c r="CM27" i="1" s="1"/>
  <c r="CJ25" i="1"/>
  <c r="CL25" i="1" s="1"/>
  <c r="CJ24" i="1"/>
  <c r="CK24" i="1" s="1"/>
  <c r="CL24" i="1"/>
  <c r="CM24" i="1" s="1"/>
  <c r="CJ23" i="1"/>
  <c r="CL23" i="1" s="1"/>
  <c r="CM23" i="1" s="1"/>
  <c r="CJ21" i="1"/>
  <c r="CL21" i="1" s="1"/>
  <c r="CM21" i="1" s="1"/>
  <c r="CJ15" i="1"/>
  <c r="CL15" i="1" s="1"/>
  <c r="CM15" i="1" s="1"/>
  <c r="CJ11" i="1"/>
  <c r="CL11" i="1" s="1"/>
  <c r="CM11" i="1" s="1"/>
  <c r="BT30" i="1"/>
  <c r="BV30" i="1" s="1"/>
  <c r="BW30" i="1" s="1"/>
  <c r="BT33" i="1"/>
  <c r="BT29" i="1"/>
  <c r="BU29" i="1" s="1"/>
  <c r="BT28" i="1"/>
  <c r="BU28" i="1" s="1"/>
  <c r="BT25" i="1"/>
  <c r="BU25" i="1" s="1"/>
  <c r="BT20" i="1"/>
  <c r="BU20" i="1" s="1"/>
  <c r="BT13" i="1"/>
  <c r="BV13" i="1" s="1"/>
  <c r="BW13" i="1" s="1"/>
  <c r="BT12" i="1"/>
  <c r="BU12" i="1" s="1"/>
  <c r="BT9" i="1"/>
  <c r="BU9" i="1" s="1"/>
  <c r="BT38" i="1"/>
  <c r="BV38" i="1" s="1"/>
  <c r="BT37" i="1"/>
  <c r="BV37" i="1" s="1"/>
  <c r="BT35" i="1"/>
  <c r="BU35" i="1" s="1"/>
  <c r="BT27" i="1"/>
  <c r="BV27" i="1" s="1"/>
  <c r="BT21" i="1"/>
  <c r="BV21" i="1" s="1"/>
  <c r="BT15" i="1"/>
  <c r="BV15" i="1" s="1"/>
  <c r="BT11" i="1"/>
  <c r="BV11" i="1" s="1"/>
  <c r="BA41" i="1"/>
  <c r="BC41" i="1" s="1"/>
  <c r="BD41" i="1" s="1"/>
  <c r="BA37" i="1"/>
  <c r="BC37" i="1" s="1"/>
  <c r="BD37" i="1" s="1"/>
  <c r="BA36" i="1"/>
  <c r="BB36" i="1" s="1"/>
  <c r="BA35" i="1"/>
  <c r="BC35" i="1" s="1"/>
  <c r="BD35" i="1" s="1"/>
  <c r="BA33" i="1"/>
  <c r="BB33" i="1" s="1"/>
  <c r="BA32" i="1"/>
  <c r="BC32" i="1" s="1"/>
  <c r="BD32" i="1" s="1"/>
  <c r="BA31" i="1"/>
  <c r="BB31" i="1" s="1"/>
  <c r="BA28" i="1"/>
  <c r="BC28" i="1" s="1"/>
  <c r="BD28" i="1" s="1"/>
  <c r="BA25" i="1"/>
  <c r="BC25" i="1" s="1"/>
  <c r="BD25" i="1" s="1"/>
  <c r="BA23" i="1"/>
  <c r="BC23" i="1" s="1"/>
  <c r="BD23" i="1" s="1"/>
  <c r="BA19" i="1"/>
  <c r="BC19" i="1" s="1"/>
  <c r="BD19" i="1" s="1"/>
  <c r="BA18" i="1"/>
  <c r="BB18" i="1" s="1"/>
  <c r="BA15" i="1"/>
  <c r="BB15" i="1" s="1"/>
  <c r="BA14" i="1"/>
  <c r="BC14" i="1" s="1"/>
  <c r="BD14" i="1" s="1"/>
  <c r="BA10" i="1"/>
  <c r="BC10" i="1" s="1"/>
  <c r="BD10" i="1" s="1"/>
  <c r="BA9" i="1"/>
  <c r="BB9" i="1" s="1"/>
  <c r="R38" i="1"/>
  <c r="S38" i="1" s="1"/>
  <c r="R39" i="1"/>
  <c r="T39" i="1" s="1"/>
  <c r="U39" i="1" s="1"/>
  <c r="R40" i="1"/>
  <c r="T40" i="1"/>
  <c r="R41" i="1"/>
  <c r="S41" i="1" s="1"/>
  <c r="R35" i="1"/>
  <c r="T35" i="1" s="1"/>
  <c r="R29" i="1"/>
  <c r="S29" i="1" s="1"/>
  <c r="R30" i="1"/>
  <c r="T30" i="1" s="1"/>
  <c r="U30" i="1" s="1"/>
  <c r="R31" i="1"/>
  <c r="S31" i="1" s="1"/>
  <c r="T31" i="1"/>
  <c r="U31" i="1" s="1"/>
  <c r="R32" i="1"/>
  <c r="T32" i="1" s="1"/>
  <c r="U32" i="1" s="1"/>
  <c r="R33" i="1"/>
  <c r="T33" i="1" s="1"/>
  <c r="R27" i="1"/>
  <c r="S27" i="1" s="1"/>
  <c r="R16" i="1"/>
  <c r="S16" i="1" s="1"/>
  <c r="R18" i="1"/>
  <c r="S18" i="1" s="1"/>
  <c r="R19" i="1"/>
  <c r="T19" i="1" s="1"/>
  <c r="U19" i="1" s="1"/>
  <c r="R21" i="1"/>
  <c r="T21" i="1"/>
  <c r="U21" i="1" s="1"/>
  <c r="R22" i="1"/>
  <c r="T22" i="1" s="1"/>
  <c r="U22" i="1" s="1"/>
  <c r="R23" i="1"/>
  <c r="S23" i="1" s="1"/>
  <c r="T23" i="1"/>
  <c r="R13" i="1"/>
  <c r="T13" i="1" s="1"/>
  <c r="BB19" i="1"/>
  <c r="BB23" i="1"/>
  <c r="BB32" i="1"/>
  <c r="BV33" i="1"/>
  <c r="BU33" i="1"/>
  <c r="BU27" i="1"/>
  <c r="BB25" i="1"/>
  <c r="BC18" i="1"/>
  <c r="BD18" i="1" s="1"/>
  <c r="BC31" i="1"/>
  <c r="BD31" i="1"/>
  <c r="S40" i="1"/>
  <c r="S33" i="1"/>
  <c r="S21" i="1"/>
  <c r="S22" i="1"/>
  <c r="CL16" i="1" l="1"/>
  <c r="CM16" i="1" s="1"/>
  <c r="CK16" i="1"/>
  <c r="AZ40" i="1"/>
  <c r="R36" i="1"/>
  <c r="T36" i="1" s="1"/>
  <c r="U36" i="1" s="1"/>
  <c r="CM28" i="1"/>
  <c r="DO11" i="1"/>
  <c r="BW27" i="1"/>
  <c r="AZ38" i="1"/>
  <c r="DO23" i="1"/>
  <c r="EI32" i="9"/>
  <c r="BB37" i="1"/>
  <c r="T29" i="1"/>
  <c r="U29" i="1" s="1"/>
  <c r="BT39" i="1"/>
  <c r="BV39" i="1" s="1"/>
  <c r="DO14" i="1"/>
  <c r="DO41" i="1"/>
  <c r="CK20" i="1"/>
  <c r="CK21" i="1"/>
  <c r="CJ22" i="1"/>
  <c r="CJ10" i="1"/>
  <c r="CL10" i="1" s="1"/>
  <c r="CM10" i="1" s="1"/>
  <c r="DA37" i="1"/>
  <c r="I10" i="11"/>
  <c r="EI21" i="9"/>
  <c r="EI28" i="9"/>
  <c r="EI18" i="1"/>
  <c r="CI16" i="1"/>
  <c r="AZ27" i="1"/>
  <c r="EI36" i="1"/>
  <c r="DO17" i="1"/>
  <c r="BB28" i="1"/>
  <c r="S30" i="1"/>
  <c r="U40" i="1"/>
  <c r="R9" i="1"/>
  <c r="T9" i="1" s="1"/>
  <c r="U9" i="1" s="1"/>
  <c r="T27" i="1"/>
  <c r="U27" i="1" s="1"/>
  <c r="BT16" i="1"/>
  <c r="EI33" i="1"/>
  <c r="EI14" i="1"/>
  <c r="EI35" i="1"/>
  <c r="EI10" i="9"/>
  <c r="EI16" i="9"/>
  <c r="EI22" i="9"/>
  <c r="EI29" i="9"/>
  <c r="S19" i="1"/>
  <c r="U35" i="1"/>
  <c r="R14" i="1"/>
  <c r="S14" i="1" s="1"/>
  <c r="BQ16" i="5"/>
  <c r="BT10" i="1"/>
  <c r="DO30" i="1"/>
  <c r="R15" i="1"/>
  <c r="S15" i="1" s="1"/>
  <c r="BA20" i="1"/>
  <c r="BC20" i="1" s="1"/>
  <c r="BD20" i="1" s="1"/>
  <c r="U13" i="1"/>
  <c r="T38" i="1"/>
  <c r="BT22" i="1"/>
  <c r="BU22" i="1" s="1"/>
  <c r="AG29" i="1"/>
  <c r="EI30" i="9"/>
  <c r="BB17" i="1"/>
  <c r="BC17" i="1"/>
  <c r="BD17" i="1" s="1"/>
  <c r="BC38" i="1"/>
  <c r="BD38" i="1" s="1"/>
  <c r="BB38" i="1"/>
  <c r="AD29" i="3"/>
  <c r="AE29" i="3"/>
  <c r="BV36" i="1"/>
  <c r="BW36" i="1" s="1"/>
  <c r="BU36" i="1"/>
  <c r="BU32" i="1"/>
  <c r="BV32" i="1"/>
  <c r="BW32" i="1" s="1"/>
  <c r="AH40" i="1"/>
  <c r="AJ40" i="1" s="1"/>
  <c r="AK40" i="1" s="1"/>
  <c r="AG40" i="1"/>
  <c r="BC40" i="1"/>
  <c r="BD40" i="1" s="1"/>
  <c r="BB40" i="1"/>
  <c r="AH33" i="1"/>
  <c r="AG33" i="1"/>
  <c r="BU19" i="1"/>
  <c r="BV19" i="1"/>
  <c r="BW19" i="1" s="1"/>
  <c r="AG15" i="3"/>
  <c r="AH15" i="3" s="1"/>
  <c r="AJ15" i="3" s="1"/>
  <c r="AF15" i="3"/>
  <c r="AD39" i="3"/>
  <c r="AE39" i="3"/>
  <c r="CI10" i="6"/>
  <c r="CJ10" i="6"/>
  <c r="DO13" i="1"/>
  <c r="EI33" i="9"/>
  <c r="BV25" i="1"/>
  <c r="BW25" i="1" s="1"/>
  <c r="R28" i="1"/>
  <c r="BA13" i="1"/>
  <c r="BC13" i="1" s="1"/>
  <c r="BD13" i="1" s="1"/>
  <c r="BS32" i="1"/>
  <c r="EI29" i="1"/>
  <c r="CJ23" i="6"/>
  <c r="CI23" i="6"/>
  <c r="CJ11" i="6"/>
  <c r="CI11" i="6"/>
  <c r="I14" i="11"/>
  <c r="CX19" i="7"/>
  <c r="CY19" i="7" s="1"/>
  <c r="CZ19" i="7" s="1"/>
  <c r="DA19" i="7" s="1"/>
  <c r="CY30" i="7"/>
  <c r="CZ30" i="7" s="1"/>
  <c r="DA30" i="7" s="1"/>
  <c r="CJ22" i="6"/>
  <c r="CI22" i="6"/>
  <c r="DO25" i="1"/>
  <c r="CI20" i="6"/>
  <c r="CJ20" i="6"/>
  <c r="R24" i="1"/>
  <c r="S24" i="1" s="1"/>
  <c r="BW37" i="1"/>
  <c r="CI19" i="1"/>
  <c r="AH37" i="1"/>
  <c r="AI37" i="1" s="1"/>
  <c r="I11" i="11"/>
  <c r="EI35" i="9"/>
  <c r="EI41" i="9"/>
  <c r="CI19" i="6"/>
  <c r="CJ19" i="6"/>
  <c r="CY41" i="7"/>
  <c r="CZ41" i="7" s="1"/>
  <c r="DA41" i="7" s="1"/>
  <c r="BP10" i="5"/>
  <c r="EI40" i="9"/>
  <c r="CJ41" i="6"/>
  <c r="CL41" i="6" s="1"/>
  <c r="CM41" i="6" s="1"/>
  <c r="CI41" i="6"/>
  <c r="AZ17" i="1"/>
  <c r="EI39" i="1"/>
  <c r="AE23" i="3"/>
  <c r="AF23" i="3" s="1"/>
  <c r="AD33" i="3"/>
  <c r="EI15" i="9"/>
  <c r="CI18" i="6"/>
  <c r="CJ18" i="6"/>
  <c r="I12" i="11"/>
  <c r="CX17" i="7"/>
  <c r="CY17" i="7" s="1"/>
  <c r="CZ17" i="7" s="1"/>
  <c r="DA17" i="7" s="1"/>
  <c r="R25" i="1"/>
  <c r="EI9" i="1"/>
  <c r="DO9" i="1"/>
  <c r="BS36" i="1"/>
  <c r="EI28" i="1"/>
  <c r="DO27" i="1"/>
  <c r="U38" i="1"/>
  <c r="AE16" i="3"/>
  <c r="AG16" i="3" s="1"/>
  <c r="AH16" i="3" s="1"/>
  <c r="AJ16" i="3" s="1"/>
  <c r="AW36" i="4"/>
  <c r="AX36" i="4" s="1"/>
  <c r="BP32" i="5"/>
  <c r="F27" i="17" s="1"/>
  <c r="EI36" i="9"/>
  <c r="CI17" i="6"/>
  <c r="CJ17" i="6"/>
  <c r="CM31" i="1"/>
  <c r="BQ21" i="5"/>
  <c r="CJ21" i="6"/>
  <c r="CI21" i="6"/>
  <c r="CM29" i="1"/>
  <c r="BS19" i="1"/>
  <c r="EI15" i="1"/>
  <c r="CI16" i="6"/>
  <c r="CJ16" i="6"/>
  <c r="G9" i="11"/>
  <c r="BP14" i="5"/>
  <c r="F9" i="17" s="1"/>
  <c r="CK12" i="1"/>
  <c r="BB14" i="1"/>
  <c r="BV29" i="1"/>
  <c r="BW29" i="1" s="1"/>
  <c r="AD21" i="3"/>
  <c r="AE38" i="3"/>
  <c r="AG38" i="3" s="1"/>
  <c r="AH38" i="3" s="1"/>
  <c r="AJ38" i="3" s="1"/>
  <c r="BQ17" i="5"/>
  <c r="BO25" i="5"/>
  <c r="BP25" i="5"/>
  <c r="F20" i="17" s="1"/>
  <c r="EI37" i="9"/>
  <c r="DM35" i="8"/>
  <c r="DN35" i="8" s="1"/>
  <c r="CI15" i="6"/>
  <c r="CJ15" i="6"/>
  <c r="CX23" i="7"/>
  <c r="CY23" i="7" s="1"/>
  <c r="CZ23" i="7" s="1"/>
  <c r="DA23" i="7" s="1"/>
  <c r="CY37" i="7"/>
  <c r="CZ37" i="7" s="1"/>
  <c r="DA37" i="7" s="1"/>
  <c r="EI14" i="9"/>
  <c r="BC33" i="1"/>
  <c r="BD33" i="1" s="1"/>
  <c r="BW11" i="1"/>
  <c r="DA27" i="1"/>
  <c r="EI25" i="1"/>
  <c r="EI13" i="1"/>
  <c r="DA19" i="1"/>
  <c r="DA32" i="1"/>
  <c r="DO35" i="1"/>
  <c r="CM39" i="1"/>
  <c r="BO9" i="5"/>
  <c r="BP9" i="5"/>
  <c r="BQ33" i="5"/>
  <c r="EI11" i="9"/>
  <c r="EI17" i="9"/>
  <c r="EI23" i="9"/>
  <c r="CJ14" i="6"/>
  <c r="CI14" i="6"/>
  <c r="I28" i="11"/>
  <c r="CY33" i="7"/>
  <c r="CZ33" i="7" s="1"/>
  <c r="DA33" i="7" s="1"/>
  <c r="I31" i="11"/>
  <c r="CY36" i="7"/>
  <c r="CZ36" i="7" s="1"/>
  <c r="DA36" i="7" s="1"/>
  <c r="EI27" i="9"/>
  <c r="BV22" i="1"/>
  <c r="BW22" i="1" s="1"/>
  <c r="BV20" i="1"/>
  <c r="BW20" i="1" s="1"/>
  <c r="BB41" i="1"/>
  <c r="BV35" i="1"/>
  <c r="BW35" i="1" s="1"/>
  <c r="BC15" i="1"/>
  <c r="BD15" i="1" s="1"/>
  <c r="DO12" i="1"/>
  <c r="AG38" i="1"/>
  <c r="F6" i="17"/>
  <c r="BQ11" i="5"/>
  <c r="G14" i="11"/>
  <c r="BP19" i="5"/>
  <c r="F14" i="17" s="1"/>
  <c r="BP27" i="5"/>
  <c r="F22" i="17" s="1"/>
  <c r="CY40" i="7"/>
  <c r="CZ40" i="7" s="1"/>
  <c r="DA40" i="7" s="1"/>
  <c r="EI38" i="9"/>
  <c r="CJ13" i="6"/>
  <c r="CI13" i="6"/>
  <c r="AX16" i="4"/>
  <c r="DA21" i="1"/>
  <c r="BQ14" i="5"/>
  <c r="EI20" i="9"/>
  <c r="BW39" i="1"/>
  <c r="R10" i="1"/>
  <c r="T10" i="1" s="1"/>
  <c r="U10" i="1" s="1"/>
  <c r="BA11" i="1"/>
  <c r="BC11" i="1" s="1"/>
  <c r="BD11" i="1" s="1"/>
  <c r="DO24" i="1"/>
  <c r="G7" i="11"/>
  <c r="BP12" i="5"/>
  <c r="F7" i="17" s="1"/>
  <c r="EI18" i="9"/>
  <c r="EI24" i="9"/>
  <c r="CJ24" i="6"/>
  <c r="CI24" i="6"/>
  <c r="CJ12" i="6"/>
  <c r="CI12" i="6"/>
  <c r="CY31" i="7"/>
  <c r="CZ31" i="7" s="1"/>
  <c r="DA31" i="7" s="1"/>
  <c r="CJ9" i="6"/>
  <c r="CI9" i="6"/>
  <c r="K24" i="11"/>
  <c r="J24" i="11"/>
  <c r="AS21" i="4"/>
  <c r="AT21" i="4" s="1"/>
  <c r="AU15" i="4"/>
  <c r="AT15" i="4"/>
  <c r="AS14" i="4"/>
  <c r="AU14" i="4" s="1"/>
  <c r="AS28" i="3"/>
  <c r="AT28" i="3" s="1"/>
  <c r="AV28" i="3" s="1"/>
  <c r="AX28" i="3" s="1"/>
  <c r="AR28" i="3"/>
  <c r="AQ30" i="3"/>
  <c r="AS30" i="3" s="1"/>
  <c r="AQ32" i="3"/>
  <c r="AS32" i="3" s="1"/>
  <c r="AR15" i="3"/>
  <c r="AS15" i="3"/>
  <c r="AT15" i="3" s="1"/>
  <c r="AV15" i="3" s="1"/>
  <c r="AX15" i="3" s="1"/>
  <c r="AS14" i="3"/>
  <c r="AT14" i="3" s="1"/>
  <c r="AV14" i="3" s="1"/>
  <c r="AX14" i="3" s="1"/>
  <c r="AR14" i="3"/>
  <c r="AR20" i="3"/>
  <c r="AS20" i="3"/>
  <c r="AT20" i="3" s="1"/>
  <c r="AV20" i="3" s="1"/>
  <c r="AX20" i="3" s="1"/>
  <c r="AR10" i="3"/>
  <c r="AS10" i="3"/>
  <c r="AR16" i="3"/>
  <c r="AS16" i="3"/>
  <c r="AT16" i="3" s="1"/>
  <c r="AV16" i="3" s="1"/>
  <c r="AX16" i="3" s="1"/>
  <c r="AR22" i="3"/>
  <c r="AS22" i="3"/>
  <c r="AT22" i="3" s="1"/>
  <c r="AV22" i="3" s="1"/>
  <c r="AX22" i="3" s="1"/>
  <c r="AS11" i="3"/>
  <c r="AT11" i="3" s="1"/>
  <c r="AV11" i="3" s="1"/>
  <c r="AX11" i="3" s="1"/>
  <c r="AR11" i="3"/>
  <c r="AR17" i="3"/>
  <c r="AS17" i="3"/>
  <c r="AT17" i="3" s="1"/>
  <c r="AV17" i="3" s="1"/>
  <c r="AX17" i="3" s="1"/>
  <c r="AS23" i="3"/>
  <c r="AT23" i="3" s="1"/>
  <c r="AV23" i="3" s="1"/>
  <c r="AX23" i="3" s="1"/>
  <c r="AR23" i="3"/>
  <c r="AS9" i="3"/>
  <c r="AT9" i="3" s="1"/>
  <c r="AV9" i="3" s="1"/>
  <c r="AX9" i="3" s="1"/>
  <c r="AR9" i="3"/>
  <c r="AS21" i="3"/>
  <c r="AT21" i="3" s="1"/>
  <c r="AV21" i="3" s="1"/>
  <c r="AX21" i="3" s="1"/>
  <c r="AR21" i="3"/>
  <c r="AS12" i="3"/>
  <c r="AT12" i="3" s="1"/>
  <c r="AV12" i="3" s="1"/>
  <c r="AX12" i="3" s="1"/>
  <c r="AR12" i="3"/>
  <c r="AR18" i="3"/>
  <c r="AS18" i="3"/>
  <c r="AT18" i="3" s="1"/>
  <c r="AV18" i="3" s="1"/>
  <c r="AX18" i="3" s="1"/>
  <c r="AS24" i="3"/>
  <c r="AT24" i="3" s="1"/>
  <c r="AV24" i="3" s="1"/>
  <c r="AX24" i="3" s="1"/>
  <c r="AR24" i="3"/>
  <c r="AS13" i="3"/>
  <c r="AT13" i="3" s="1"/>
  <c r="AV13" i="3" s="1"/>
  <c r="AX13" i="3" s="1"/>
  <c r="AR13" i="3"/>
  <c r="AR19" i="3"/>
  <c r="AS19" i="3"/>
  <c r="AT19" i="3" s="1"/>
  <c r="AV19" i="3" s="1"/>
  <c r="AX19" i="3" s="1"/>
  <c r="AS25" i="3"/>
  <c r="AR25" i="3"/>
  <c r="BN22" i="5"/>
  <c r="BP22" i="5" s="1"/>
  <c r="F17" i="17" s="1"/>
  <c r="BO21" i="5"/>
  <c r="BO33" i="5"/>
  <c r="BO27" i="5"/>
  <c r="BO17" i="5"/>
  <c r="BN18" i="5"/>
  <c r="BP18" i="5" s="1"/>
  <c r="F13" i="17" s="1"/>
  <c r="BN20" i="5"/>
  <c r="BO12" i="5"/>
  <c r="AT16" i="4"/>
  <c r="AU24" i="4"/>
  <c r="AT24" i="4"/>
  <c r="H11" i="2"/>
  <c r="I11" i="2"/>
  <c r="J11" i="2" s="1"/>
  <c r="H10" i="2"/>
  <c r="I10" i="2"/>
  <c r="J10" i="2" s="1"/>
  <c r="H14" i="2"/>
  <c r="I14" i="2"/>
  <c r="H13" i="2"/>
  <c r="I13" i="2"/>
  <c r="J13" i="2" s="1"/>
  <c r="H15" i="2"/>
  <c r="I15" i="2"/>
  <c r="K31" i="2"/>
  <c r="D26" i="11" s="1"/>
  <c r="J30" i="2"/>
  <c r="AJ38" i="1"/>
  <c r="AK38" i="1" s="1"/>
  <c r="AI38" i="1"/>
  <c r="AG36" i="1"/>
  <c r="AH36" i="1"/>
  <c r="AJ36" i="1" s="1"/>
  <c r="AK36" i="1" s="1"/>
  <c r="AG20" i="1"/>
  <c r="AH20" i="1"/>
  <c r="AJ20" i="1" s="1"/>
  <c r="AK20" i="1" s="1"/>
  <c r="AJ33" i="1"/>
  <c r="AK33" i="1" s="1"/>
  <c r="AI33" i="1"/>
  <c r="AD18" i="3"/>
  <c r="AE18" i="3"/>
  <c r="J23" i="11"/>
  <c r="AE12" i="3"/>
  <c r="AD12" i="3"/>
  <c r="AT17" i="4"/>
  <c r="AU17" i="4"/>
  <c r="AV17" i="4" s="1"/>
  <c r="AE14" i="3"/>
  <c r="AG14" i="3" s="1"/>
  <c r="AH14" i="3" s="1"/>
  <c r="AJ14" i="3" s="1"/>
  <c r="AD14" i="3"/>
  <c r="I19" i="11"/>
  <c r="J35" i="11"/>
  <c r="BV14" i="1"/>
  <c r="BW14" i="1" s="1"/>
  <c r="BU14" i="1"/>
  <c r="CL14" i="1"/>
  <c r="CM14" i="1" s="1"/>
  <c r="CK14" i="1"/>
  <c r="AE41" i="3"/>
  <c r="AD41" i="3"/>
  <c r="AH15" i="1"/>
  <c r="AG15" i="1"/>
  <c r="K7" i="11"/>
  <c r="EI12" i="9"/>
  <c r="I20" i="11"/>
  <c r="AG24" i="1"/>
  <c r="AH24" i="1"/>
  <c r="AH39" i="1"/>
  <c r="AG39" i="1"/>
  <c r="EI32" i="1"/>
  <c r="BV23" i="1"/>
  <c r="BW23" i="1" s="1"/>
  <c r="BU23" i="1"/>
  <c r="DA41" i="1"/>
  <c r="BW15" i="1"/>
  <c r="AG21" i="3"/>
  <c r="AH21" i="3" s="1"/>
  <c r="AJ21" i="3" s="1"/>
  <c r="AF21" i="3"/>
  <c r="BC24" i="1"/>
  <c r="BD24" i="1" s="1"/>
  <c r="BB24" i="1"/>
  <c r="AD32" i="3"/>
  <c r="AE32" i="3"/>
  <c r="I7" i="11"/>
  <c r="BU37" i="1"/>
  <c r="R12" i="1"/>
  <c r="CK23" i="1"/>
  <c r="CK15" i="1"/>
  <c r="CK11" i="1"/>
  <c r="T15" i="1"/>
  <c r="U15" i="1" s="1"/>
  <c r="BA12" i="1"/>
  <c r="CJ18" i="1"/>
  <c r="AZ16" i="1"/>
  <c r="BS14" i="1"/>
  <c r="AE30" i="3"/>
  <c r="AF30" i="3" s="1"/>
  <c r="AT31" i="4"/>
  <c r="AE36" i="3"/>
  <c r="J32" i="11"/>
  <c r="AH17" i="1"/>
  <c r="AI17" i="1" s="1"/>
  <c r="EI16" i="1"/>
  <c r="AE28" i="3"/>
  <c r="BW38" i="1"/>
  <c r="AJ30" i="1"/>
  <c r="AK30" i="1" s="1"/>
  <c r="AE25" i="3"/>
  <c r="AG25" i="3" s="1"/>
  <c r="AH25" i="3" s="1"/>
  <c r="AJ25" i="3" s="1"/>
  <c r="AV31" i="4"/>
  <c r="S10" i="1"/>
  <c r="U23" i="1"/>
  <c r="BA29" i="1"/>
  <c r="DA25" i="1"/>
  <c r="BB27" i="1"/>
  <c r="BU39" i="1"/>
  <c r="U33" i="1"/>
  <c r="BT17" i="1"/>
  <c r="BT40" i="1"/>
  <c r="CJ17" i="1"/>
  <c r="AF16" i="3"/>
  <c r="AE24" i="3"/>
  <c r="BT18" i="1"/>
  <c r="S35" i="1"/>
  <c r="BB13" i="1"/>
  <c r="BS23" i="1"/>
  <c r="S13" i="1"/>
  <c r="BV9" i="1"/>
  <c r="BW9" i="1" s="1"/>
  <c r="BW21" i="1"/>
  <c r="CJ9" i="1"/>
  <c r="CI14" i="1"/>
  <c r="AZ24" i="1"/>
  <c r="EI23" i="1"/>
  <c r="EI11" i="1"/>
  <c r="EI38" i="1"/>
  <c r="EI17" i="1"/>
  <c r="EI30" i="1"/>
  <c r="DA20" i="1"/>
  <c r="DA33" i="1"/>
  <c r="DA36" i="1"/>
  <c r="DO15" i="1"/>
  <c r="AE13" i="3"/>
  <c r="S39" i="1"/>
  <c r="AE10" i="3"/>
  <c r="S36" i="1"/>
  <c r="BU15" i="1"/>
  <c r="BA21" i="1"/>
  <c r="CM41" i="1"/>
  <c r="DO18" i="1"/>
  <c r="AE20" i="3"/>
  <c r="AE11" i="3"/>
  <c r="BO11" i="5"/>
  <c r="CM25" i="1"/>
  <c r="CK25" i="1"/>
  <c r="R20" i="1"/>
  <c r="BM33" i="5"/>
  <c r="G25" i="11"/>
  <c r="BM29" i="5"/>
  <c r="K10" i="11"/>
  <c r="K34" i="11"/>
  <c r="K20" i="11"/>
  <c r="K35" i="11"/>
  <c r="K4" i="11"/>
  <c r="K19" i="11"/>
  <c r="K14" i="11"/>
  <c r="EI19" i="9"/>
  <c r="K33" i="11"/>
  <c r="J36" i="11"/>
  <c r="J17" i="11"/>
  <c r="J18" i="11"/>
  <c r="J11" i="11"/>
  <c r="J5" i="11"/>
  <c r="I34" i="11"/>
  <c r="I33" i="11"/>
  <c r="I27" i="11"/>
  <c r="I22" i="11"/>
  <c r="I16" i="11"/>
  <c r="I13" i="11"/>
  <c r="BM41" i="5"/>
  <c r="G33" i="11"/>
  <c r="BN28" i="5"/>
  <c r="BP28" i="5" s="1"/>
  <c r="F23" i="17" s="1"/>
  <c r="BO29" i="5"/>
  <c r="BM30" i="5"/>
  <c r="BO30" i="5"/>
  <c r="BO16" i="5"/>
  <c r="G16" i="11"/>
  <c r="BO10" i="5"/>
  <c r="G12" i="11"/>
  <c r="BO19" i="5"/>
  <c r="BO14" i="5"/>
  <c r="AV16" i="4"/>
  <c r="AU33" i="4"/>
  <c r="AT33" i="4"/>
  <c r="AT30" i="4"/>
  <c r="AU30" i="4"/>
  <c r="AV30" i="4" s="1"/>
  <c r="AU39" i="4"/>
  <c r="AV39" i="4" s="1"/>
  <c r="AT27" i="4"/>
  <c r="AV27" i="4"/>
  <c r="AU35" i="4"/>
  <c r="AV35" i="4" s="1"/>
  <c r="AU21" i="4"/>
  <c r="AU10" i="4"/>
  <c r="AT10" i="4"/>
  <c r="AU22" i="4"/>
  <c r="AT22" i="4"/>
  <c r="AU9" i="4"/>
  <c r="AV36" i="4"/>
  <c r="AT36" i="4"/>
  <c r="F31" i="11"/>
  <c r="AV38" i="4"/>
  <c r="AT38" i="4"/>
  <c r="F24" i="11"/>
  <c r="AT29" i="4"/>
  <c r="AV29" i="4"/>
  <c r="AU18" i="4"/>
  <c r="AT18" i="4"/>
  <c r="AT25" i="4"/>
  <c r="AU25" i="4"/>
  <c r="AT13" i="4"/>
  <c r="AU13" i="4"/>
  <c r="K38" i="2"/>
  <c r="D33" i="11" s="1"/>
  <c r="L20" i="2"/>
  <c r="K28" i="2"/>
  <c r="D23" i="11" s="1"/>
  <c r="K41" i="2"/>
  <c r="L41" i="2" s="1"/>
  <c r="K27" i="2"/>
  <c r="D22" i="11" s="1"/>
  <c r="J27" i="2"/>
  <c r="D19" i="11"/>
  <c r="AR36" i="3"/>
  <c r="AR39" i="3"/>
  <c r="AU39" i="3"/>
  <c r="AR29" i="3"/>
  <c r="D17" i="11"/>
  <c r="AG14" i="1"/>
  <c r="AH14" i="1"/>
  <c r="BU41" i="1"/>
  <c r="BV41" i="1"/>
  <c r="BW41" i="1" s="1"/>
  <c r="AH27" i="1"/>
  <c r="AG27" i="1"/>
  <c r="K39" i="2"/>
  <c r="L39" i="2" s="1"/>
  <c r="J39" i="2"/>
  <c r="AF24" i="3"/>
  <c r="AG24" i="3"/>
  <c r="AH24" i="3" s="1"/>
  <c r="AJ24" i="3" s="1"/>
  <c r="BC36" i="1"/>
  <c r="BD36" i="1" s="1"/>
  <c r="BV12" i="1"/>
  <c r="BW12" i="1" s="1"/>
  <c r="AG21" i="1"/>
  <c r="AH21" i="1"/>
  <c r="J32" i="2"/>
  <c r="K32" i="2"/>
  <c r="L32" i="2" s="1"/>
  <c r="K5" i="11"/>
  <c r="J28" i="11"/>
  <c r="S32" i="1"/>
  <c r="BB35" i="1"/>
  <c r="BU30" i="1"/>
  <c r="BV28" i="1"/>
  <c r="BW28" i="1" s="1"/>
  <c r="BC16" i="1"/>
  <c r="BD16" i="1" s="1"/>
  <c r="T24" i="1"/>
  <c r="U24" i="1" s="1"/>
  <c r="T18" i="1"/>
  <c r="U18" i="1" s="1"/>
  <c r="T41" i="1"/>
  <c r="U41" i="1" s="1"/>
  <c r="BC9" i="1"/>
  <c r="BD9" i="1" s="1"/>
  <c r="CL19" i="1"/>
  <c r="CM19" i="1" s="1"/>
  <c r="CL13" i="1"/>
  <c r="CM13" i="1" s="1"/>
  <c r="AJ35" i="1"/>
  <c r="AK35" i="1" s="1"/>
  <c r="AI35" i="1"/>
  <c r="AH11" i="1"/>
  <c r="AG11" i="1"/>
  <c r="AG22" i="1"/>
  <c r="AH22" i="1"/>
  <c r="AG19" i="3"/>
  <c r="AH19" i="3" s="1"/>
  <c r="AJ19" i="3" s="1"/>
  <c r="AF19" i="3"/>
  <c r="F26" i="11"/>
  <c r="F35" i="11"/>
  <c r="BN13" i="5"/>
  <c r="BP13" i="5" s="1"/>
  <c r="F8" i="17" s="1"/>
  <c r="J22" i="11"/>
  <c r="K18" i="11"/>
  <c r="BU13" i="1"/>
  <c r="BB10" i="1"/>
  <c r="R17" i="1"/>
  <c r="AJ29" i="1"/>
  <c r="AK29" i="1" s="1"/>
  <c r="AI29" i="1"/>
  <c r="AH19" i="1"/>
  <c r="AG16" i="1"/>
  <c r="AH16" i="1"/>
  <c r="I24" i="11"/>
  <c r="I30" i="11"/>
  <c r="J7" i="11"/>
  <c r="K6" i="11"/>
  <c r="BU11" i="1"/>
  <c r="T16" i="1"/>
  <c r="U16" i="1" s="1"/>
  <c r="AG18" i="1"/>
  <c r="AH18" i="1"/>
  <c r="K29" i="2"/>
  <c r="L29" i="2" s="1"/>
  <c r="J29" i="2"/>
  <c r="J40" i="2"/>
  <c r="K40" i="2"/>
  <c r="L40" i="2" s="1"/>
  <c r="I4" i="11"/>
  <c r="I9" i="11"/>
  <c r="K25" i="11"/>
  <c r="K31" i="11"/>
  <c r="AG32" i="1"/>
  <c r="AH32" i="1"/>
  <c r="AG35" i="3"/>
  <c r="AH35" i="3" s="1"/>
  <c r="AJ35" i="3" s="1"/>
  <c r="AF35" i="3"/>
  <c r="F22" i="11"/>
  <c r="G10" i="11"/>
  <c r="AG10" i="1"/>
  <c r="AH10" i="1"/>
  <c r="I23" i="11"/>
  <c r="BU21" i="1"/>
  <c r="BT24" i="1"/>
  <c r="AI20" i="1"/>
  <c r="AH28" i="1"/>
  <c r="AG28" i="1"/>
  <c r="G28" i="11"/>
  <c r="J8" i="11"/>
  <c r="BA22" i="1"/>
  <c r="BU38" i="1"/>
  <c r="BB39" i="1"/>
  <c r="BB20" i="1"/>
  <c r="AH13" i="1"/>
  <c r="AG13" i="1"/>
  <c r="AG30" i="1"/>
  <c r="AH9" i="1"/>
  <c r="AF20" i="3"/>
  <c r="AG20" i="3"/>
  <c r="AH20" i="3" s="1"/>
  <c r="AJ20" i="3" s="1"/>
  <c r="AF11" i="3"/>
  <c r="AG11" i="3"/>
  <c r="AH11" i="3" s="1"/>
  <c r="AJ11" i="3" s="1"/>
  <c r="AU12" i="4"/>
  <c r="AT12" i="4"/>
  <c r="AT19" i="4"/>
  <c r="AU19" i="4"/>
  <c r="G6" i="11"/>
  <c r="J13" i="11"/>
  <c r="K32" i="11"/>
  <c r="J34" i="11"/>
  <c r="AJ41" i="1"/>
  <c r="AK41" i="1" s="1"/>
  <c r="AI41" i="1"/>
  <c r="AD40" i="3"/>
  <c r="AE40" i="3"/>
  <c r="R11" i="1"/>
  <c r="R37" i="1"/>
  <c r="BA30" i="1"/>
  <c r="AH25" i="1"/>
  <c r="J37" i="2"/>
  <c r="K37" i="2"/>
  <c r="L37" i="2" s="1"/>
  <c r="AE37" i="3"/>
  <c r="AD37" i="3"/>
  <c r="F33" i="11"/>
  <c r="K17" i="11"/>
  <c r="K27" i="11"/>
  <c r="AR38" i="3"/>
  <c r="AH12" i="1"/>
  <c r="AG23" i="1"/>
  <c r="AH23" i="1"/>
  <c r="AD9" i="3"/>
  <c r="AE9" i="3"/>
  <c r="AE22" i="3"/>
  <c r="AD22" i="3"/>
  <c r="AD27" i="3"/>
  <c r="AE27" i="3"/>
  <c r="AG32" i="3"/>
  <c r="AH32" i="3" s="1"/>
  <c r="AJ32" i="3" s="1"/>
  <c r="AF32" i="3"/>
  <c r="AT11" i="4"/>
  <c r="AU11" i="4"/>
  <c r="AD31" i="3"/>
  <c r="AE31" i="3"/>
  <c r="CK38" i="6"/>
  <c r="AT41" i="4"/>
  <c r="AU41" i="4"/>
  <c r="AG30" i="3"/>
  <c r="AH30" i="3" s="1"/>
  <c r="AJ30" i="3" s="1"/>
  <c r="AW20" i="4"/>
  <c r="AX20" i="4" s="1"/>
  <c r="G34" i="11"/>
  <c r="AU23" i="3"/>
  <c r="AU33" i="3"/>
  <c r="AT33" i="3"/>
  <c r="AV33" i="3" s="1"/>
  <c r="AX33" i="3" s="1"/>
  <c r="I5" i="11"/>
  <c r="AE17" i="3"/>
  <c r="K30" i="11"/>
  <c r="K22" i="11"/>
  <c r="AT37" i="4"/>
  <c r="AU37" i="4"/>
  <c r="AR35" i="3"/>
  <c r="BM32" i="5"/>
  <c r="AU28" i="4"/>
  <c r="K36" i="11"/>
  <c r="AU40" i="3"/>
  <c r="AT40" i="3"/>
  <c r="AV40" i="3" s="1"/>
  <c r="AX40" i="3" s="1"/>
  <c r="AT20" i="4"/>
  <c r="AF25" i="3"/>
  <c r="AT40" i="4"/>
  <c r="AV40" i="4"/>
  <c r="J20" i="11"/>
  <c r="AD35" i="3"/>
  <c r="AT23" i="4"/>
  <c r="AU23" i="4"/>
  <c r="J12" i="11"/>
  <c r="K11" i="11"/>
  <c r="AR31" i="3"/>
  <c r="AR41" i="3"/>
  <c r="BO32" i="5"/>
  <c r="AT32" i="4"/>
  <c r="AU32" i="4"/>
  <c r="AU27" i="3"/>
  <c r="AU37" i="3"/>
  <c r="AT37" i="3"/>
  <c r="AV37" i="3" s="1"/>
  <c r="AR27" i="3"/>
  <c r="AR33" i="3"/>
  <c r="AR37" i="3"/>
  <c r="AR40" i="3"/>
  <c r="AU11" i="3" l="1"/>
  <c r="BQ27" i="5"/>
  <c r="CK10" i="1"/>
  <c r="BQ19" i="5"/>
  <c r="BU10" i="1"/>
  <c r="BV10" i="1"/>
  <c r="BW10" i="1" s="1"/>
  <c r="BU16" i="1"/>
  <c r="BV16" i="1"/>
  <c r="BW16" i="1" s="1"/>
  <c r="AI36" i="1"/>
  <c r="CL22" i="1"/>
  <c r="CM22" i="1" s="1"/>
  <c r="CK22" i="1"/>
  <c r="G22" i="11"/>
  <c r="I32" i="11"/>
  <c r="K13" i="2"/>
  <c r="L13" i="2" s="1"/>
  <c r="AJ17" i="1"/>
  <c r="AK17" i="1" s="1"/>
  <c r="BB11" i="1"/>
  <c r="AU13" i="3"/>
  <c r="T14" i="1"/>
  <c r="U14" i="1" s="1"/>
  <c r="AT14" i="4"/>
  <c r="AG23" i="3"/>
  <c r="AH23" i="3" s="1"/>
  <c r="AJ23" i="3" s="1"/>
  <c r="BQ12" i="5"/>
  <c r="S9" i="1"/>
  <c r="BQ32" i="5"/>
  <c r="AX37" i="3"/>
  <c r="DO35" i="8"/>
  <c r="J30" i="11"/>
  <c r="BQ18" i="5"/>
  <c r="CK10" i="6"/>
  <c r="CL10" i="6"/>
  <c r="CM10" i="6" s="1"/>
  <c r="F4" i="17"/>
  <c r="BQ9" i="5"/>
  <c r="T25" i="1"/>
  <c r="U25" i="1" s="1"/>
  <c r="S25" i="1"/>
  <c r="CK22" i="6"/>
  <c r="CL22" i="6"/>
  <c r="BQ28" i="5"/>
  <c r="BQ13" i="5"/>
  <c r="AG39" i="3"/>
  <c r="AH39" i="3" s="1"/>
  <c r="AJ39" i="3" s="1"/>
  <c r="AF39" i="3"/>
  <c r="AF14" i="3"/>
  <c r="CK13" i="6"/>
  <c r="CL13" i="6"/>
  <c r="CM13" i="6" s="1"/>
  <c r="CK14" i="6"/>
  <c r="CL14" i="6"/>
  <c r="CM14" i="6" s="1"/>
  <c r="I18" i="11"/>
  <c r="G27" i="11"/>
  <c r="I25" i="11"/>
  <c r="CK15" i="6"/>
  <c r="CL15" i="6"/>
  <c r="CM15" i="6" s="1"/>
  <c r="CK18" i="6"/>
  <c r="CL18" i="6"/>
  <c r="CM18" i="6" s="1"/>
  <c r="F5" i="17"/>
  <c r="BQ10" i="5"/>
  <c r="I26" i="11"/>
  <c r="L31" i="2"/>
  <c r="G5" i="11"/>
  <c r="AG29" i="3"/>
  <c r="AH29" i="3" s="1"/>
  <c r="AJ29" i="3" s="1"/>
  <c r="AF29" i="3"/>
  <c r="I35" i="11"/>
  <c r="BQ22" i="5"/>
  <c r="CL20" i="6"/>
  <c r="CM20" i="6" s="1"/>
  <c r="CK20" i="6"/>
  <c r="T28" i="1"/>
  <c r="U28" i="1" s="1"/>
  <c r="S28" i="1"/>
  <c r="CL12" i="6"/>
  <c r="CM12" i="6" s="1"/>
  <c r="CK12" i="6"/>
  <c r="CL21" i="6"/>
  <c r="CM21" i="6" s="1"/>
  <c r="CK21" i="6"/>
  <c r="I36" i="11"/>
  <c r="CL11" i="6"/>
  <c r="CM11" i="6" s="1"/>
  <c r="CK11" i="6"/>
  <c r="AI40" i="1"/>
  <c r="CL19" i="6"/>
  <c r="CM19" i="6" s="1"/>
  <c r="CK19" i="6"/>
  <c r="AF38" i="3"/>
  <c r="CL24" i="6"/>
  <c r="CM24" i="6" s="1"/>
  <c r="CK24" i="6"/>
  <c r="CK23" i="6"/>
  <c r="CL23" i="6"/>
  <c r="CM23" i="6" s="1"/>
  <c r="BP20" i="5"/>
  <c r="G15" i="11" s="1"/>
  <c r="BQ25" i="5"/>
  <c r="CL16" i="6"/>
  <c r="CK16" i="6"/>
  <c r="CK17" i="6"/>
  <c r="CL17" i="6"/>
  <c r="CK9" i="6"/>
  <c r="AU14" i="3"/>
  <c r="AT10" i="3"/>
  <c r="AV10" i="3" s="1"/>
  <c r="AX10" i="3" s="1"/>
  <c r="AU20" i="3"/>
  <c r="H23" i="11"/>
  <c r="H18" i="11"/>
  <c r="H33" i="11"/>
  <c r="H8" i="11"/>
  <c r="AV14" i="4"/>
  <c r="AW14" i="4"/>
  <c r="AX14" i="4" s="1"/>
  <c r="AV9" i="4"/>
  <c r="AW9" i="4"/>
  <c r="AX9" i="4" s="1"/>
  <c r="AV15" i="4"/>
  <c r="AW15" i="4"/>
  <c r="AX15" i="4" s="1"/>
  <c r="AR32" i="3"/>
  <c r="AR30" i="3"/>
  <c r="CK35" i="6"/>
  <c r="CK28" i="6"/>
  <c r="CK39" i="6"/>
  <c r="G4" i="11"/>
  <c r="BO22" i="5"/>
  <c r="BO18" i="5"/>
  <c r="BO20" i="5"/>
  <c r="AW17" i="4"/>
  <c r="AX17" i="4" s="1"/>
  <c r="AW24" i="4"/>
  <c r="AX24" i="4" s="1"/>
  <c r="AV24" i="4"/>
  <c r="AU22" i="3"/>
  <c r="AT39" i="3"/>
  <c r="AV39" i="3" s="1"/>
  <c r="AX39" i="3" s="1"/>
  <c r="K10" i="2"/>
  <c r="L10" i="2" s="1"/>
  <c r="K11" i="2"/>
  <c r="L38" i="2"/>
  <c r="L28" i="2"/>
  <c r="L27" i="2"/>
  <c r="J15" i="2"/>
  <c r="K15" i="2"/>
  <c r="K14" i="2"/>
  <c r="J14" i="2"/>
  <c r="J31" i="2"/>
  <c r="K30" i="2"/>
  <c r="J38" i="2"/>
  <c r="J28" i="2"/>
  <c r="T20" i="1"/>
  <c r="U20" i="1" s="1"/>
  <c r="S20" i="1"/>
  <c r="BV40" i="1"/>
  <c r="BW40" i="1" s="1"/>
  <c r="BU40" i="1"/>
  <c r="AT25" i="3"/>
  <c r="AV25" i="3" s="1"/>
  <c r="AX25" i="3" s="1"/>
  <c r="AU25" i="3"/>
  <c r="BB21" i="1"/>
  <c r="BC21" i="1"/>
  <c r="BD21" i="1" s="1"/>
  <c r="BV17" i="1"/>
  <c r="BW17" i="1" s="1"/>
  <c r="BU17" i="1"/>
  <c r="AJ15" i="1"/>
  <c r="AK15" i="1" s="1"/>
  <c r="AI15" i="1"/>
  <c r="AG18" i="3"/>
  <c r="AH18" i="3" s="1"/>
  <c r="AJ18" i="3" s="1"/>
  <c r="AF18" i="3"/>
  <c r="AJ39" i="1"/>
  <c r="AK39" i="1" s="1"/>
  <c r="AI39" i="1"/>
  <c r="CL18" i="1"/>
  <c r="CM18" i="1" s="1"/>
  <c r="CK18" i="1"/>
  <c r="AJ24" i="1"/>
  <c r="AK24" i="1" s="1"/>
  <c r="AI24" i="1"/>
  <c r="AF13" i="3"/>
  <c r="AG13" i="3"/>
  <c r="AH13" i="3" s="1"/>
  <c r="AJ13" i="3" s="1"/>
  <c r="AG28" i="3"/>
  <c r="AH28" i="3" s="1"/>
  <c r="AJ28" i="3" s="1"/>
  <c r="AF28" i="3"/>
  <c r="BC12" i="1"/>
  <c r="BD12" i="1" s="1"/>
  <c r="BB12" i="1"/>
  <c r="AW39" i="4"/>
  <c r="AF10" i="3"/>
  <c r="AG10" i="3"/>
  <c r="AH10" i="3" s="1"/>
  <c r="AJ10" i="3" s="1"/>
  <c r="AF41" i="3"/>
  <c r="AG41" i="3"/>
  <c r="AH41" i="3" s="1"/>
  <c r="AJ41" i="3" s="1"/>
  <c r="CL9" i="1"/>
  <c r="CM9" i="1" s="1"/>
  <c r="CK9" i="1"/>
  <c r="BU18" i="1"/>
  <c r="BV18" i="1"/>
  <c r="BW18" i="1" s="1"/>
  <c r="BC29" i="1"/>
  <c r="BD29" i="1" s="1"/>
  <c r="BB29" i="1"/>
  <c r="AG36" i="3"/>
  <c r="AH36" i="3" s="1"/>
  <c r="AJ36" i="3" s="1"/>
  <c r="AF36" i="3"/>
  <c r="CK36" i="6"/>
  <c r="CK40" i="6"/>
  <c r="T12" i="1"/>
  <c r="U12" i="1" s="1"/>
  <c r="S12" i="1"/>
  <c r="CK29" i="6"/>
  <c r="CL17" i="1"/>
  <c r="CM17" i="1" s="1"/>
  <c r="CK17" i="1"/>
  <c r="AG12" i="3"/>
  <c r="AH12" i="3" s="1"/>
  <c r="AJ12" i="3" s="1"/>
  <c r="AF12" i="3"/>
  <c r="AW30" i="4"/>
  <c r="AX30" i="4" s="1"/>
  <c r="CK37" i="6"/>
  <c r="CK30" i="6"/>
  <c r="CK33" i="6"/>
  <c r="CK27" i="6"/>
  <c r="BO41" i="5"/>
  <c r="G24" i="11"/>
  <c r="BO28" i="5"/>
  <c r="G13" i="11"/>
  <c r="G11" i="11"/>
  <c r="AW33" i="4"/>
  <c r="AX33" i="4" s="1"/>
  <c r="AV33" i="4"/>
  <c r="AW35" i="4"/>
  <c r="AX35" i="4" s="1"/>
  <c r="AV21" i="4"/>
  <c r="AW21" i="4"/>
  <c r="AX21" i="4" s="1"/>
  <c r="AW22" i="4"/>
  <c r="AX22" i="4" s="1"/>
  <c r="AV22" i="4"/>
  <c r="AW10" i="4"/>
  <c r="AX10" i="4" s="1"/>
  <c r="AV10" i="4"/>
  <c r="F9" i="11"/>
  <c r="AV13" i="4"/>
  <c r="AW13" i="4"/>
  <c r="AX13" i="4" s="1"/>
  <c r="AV25" i="4"/>
  <c r="AW25" i="4"/>
  <c r="AX25" i="4" s="1"/>
  <c r="AW18" i="4"/>
  <c r="AX18" i="4" s="1"/>
  <c r="AV18" i="4"/>
  <c r="D36" i="11"/>
  <c r="J41" i="2"/>
  <c r="D16" i="11"/>
  <c r="D7" i="11"/>
  <c r="D11" i="11"/>
  <c r="D14" i="11"/>
  <c r="L22" i="2"/>
  <c r="K36" i="2"/>
  <c r="L36" i="2" s="1"/>
  <c r="J36" i="2"/>
  <c r="AU36" i="3"/>
  <c r="AT36" i="3"/>
  <c r="AT32" i="3"/>
  <c r="AV32" i="3" s="1"/>
  <c r="AX32" i="3" s="1"/>
  <c r="AU32" i="3"/>
  <c r="AU29" i="3"/>
  <c r="AT29" i="3"/>
  <c r="AV29" i="3" s="1"/>
  <c r="AX29" i="3" s="1"/>
  <c r="AU16" i="3"/>
  <c r="AU10" i="3"/>
  <c r="AU19" i="3"/>
  <c r="J33" i="2"/>
  <c r="K33" i="2"/>
  <c r="L33" i="2" s="1"/>
  <c r="AT30" i="3"/>
  <c r="AV30" i="3" s="1"/>
  <c r="AX30" i="3" s="1"/>
  <c r="AU30" i="3"/>
  <c r="AT31" i="3"/>
  <c r="AV31" i="3" s="1"/>
  <c r="AX31" i="3" s="1"/>
  <c r="AU31" i="3"/>
  <c r="AJ12" i="1"/>
  <c r="AK12" i="1" s="1"/>
  <c r="AI12" i="1"/>
  <c r="D13" i="11"/>
  <c r="L18" i="2"/>
  <c r="AV23" i="4"/>
  <c r="AW23" i="4"/>
  <c r="AX23" i="4" s="1"/>
  <c r="D24" i="11"/>
  <c r="G20" i="11"/>
  <c r="AF9" i="3"/>
  <c r="AG9" i="3"/>
  <c r="AH9" i="3" s="1"/>
  <c r="AJ9" i="3" s="1"/>
  <c r="AT38" i="3"/>
  <c r="AV38" i="3" s="1"/>
  <c r="AX38" i="3" s="1"/>
  <c r="AU38" i="3"/>
  <c r="AI9" i="1"/>
  <c r="AJ9" i="1"/>
  <c r="AK9" i="1" s="1"/>
  <c r="J35" i="2"/>
  <c r="K35" i="2"/>
  <c r="L35" i="2" s="1"/>
  <c r="F15" i="11"/>
  <c r="BV24" i="1"/>
  <c r="BW24" i="1" s="1"/>
  <c r="BU24" i="1"/>
  <c r="AJ19" i="1"/>
  <c r="AK19" i="1" s="1"/>
  <c r="AI19" i="1"/>
  <c r="D34" i="11"/>
  <c r="AG17" i="3"/>
  <c r="AH17" i="3" s="1"/>
  <c r="AJ17" i="3" s="1"/>
  <c r="AF17" i="3"/>
  <c r="D20" i="11"/>
  <c r="AJ16" i="1"/>
  <c r="AK16" i="1" s="1"/>
  <c r="AI16" i="1"/>
  <c r="AU24" i="3"/>
  <c r="AF31" i="3"/>
  <c r="AG31" i="3"/>
  <c r="AH31" i="3" s="1"/>
  <c r="AJ31" i="3" s="1"/>
  <c r="BC30" i="1"/>
  <c r="BD30" i="1" s="1"/>
  <c r="BB30" i="1"/>
  <c r="D4" i="11"/>
  <c r="AJ22" i="1"/>
  <c r="AK22" i="1" s="1"/>
  <c r="AI22" i="1"/>
  <c r="AW28" i="4"/>
  <c r="AX28" i="4" s="1"/>
  <c r="AV28" i="4"/>
  <c r="AU21" i="3"/>
  <c r="AI25" i="1"/>
  <c r="AJ25" i="1"/>
  <c r="AK25" i="1" s="1"/>
  <c r="AU15" i="3"/>
  <c r="AU12" i="3"/>
  <c r="T37" i="1"/>
  <c r="U37" i="1" s="1"/>
  <c r="U44" i="1" s="1"/>
  <c r="V45" i="1" s="1"/>
  <c r="S37" i="1"/>
  <c r="AI13" i="1"/>
  <c r="AJ13" i="1"/>
  <c r="AK13" i="1" s="1"/>
  <c r="AU18" i="3"/>
  <c r="H30" i="11"/>
  <c r="BO13" i="5"/>
  <c r="AJ27" i="1"/>
  <c r="AK27" i="1" s="1"/>
  <c r="AI27" i="1"/>
  <c r="D32" i="11"/>
  <c r="AT35" i="3"/>
  <c r="AV35" i="3" s="1"/>
  <c r="AX35" i="3" s="1"/>
  <c r="AU35" i="3"/>
  <c r="AI28" i="1"/>
  <c r="AJ28" i="1"/>
  <c r="AK28" i="1" s="1"/>
  <c r="AV37" i="4"/>
  <c r="AW37" i="4"/>
  <c r="AX37" i="4" s="1"/>
  <c r="AW11" i="4"/>
  <c r="AX11" i="4" s="1"/>
  <c r="AV11" i="4"/>
  <c r="S11" i="1"/>
  <c r="T11" i="1"/>
  <c r="U11" i="1" s="1"/>
  <c r="AW19" i="4"/>
  <c r="AX19" i="4" s="1"/>
  <c r="AV19" i="4"/>
  <c r="AI18" i="1"/>
  <c r="AJ18" i="1"/>
  <c r="AK18" i="1" s="1"/>
  <c r="D27" i="11"/>
  <c r="AG22" i="3"/>
  <c r="AH22" i="3" s="1"/>
  <c r="AJ22" i="3" s="1"/>
  <c r="AF22" i="3"/>
  <c r="AV32" i="4"/>
  <c r="AW32" i="4"/>
  <c r="AX32" i="4" s="1"/>
  <c r="D5" i="11"/>
  <c r="AU9" i="3"/>
  <c r="S17" i="1"/>
  <c r="T17" i="1"/>
  <c r="U17" i="1" s="1"/>
  <c r="AJ11" i="1"/>
  <c r="AK11" i="1" s="1"/>
  <c r="AI11" i="1"/>
  <c r="AU17" i="3"/>
  <c r="AU41" i="3"/>
  <c r="AT41" i="3"/>
  <c r="AV41" i="3" s="1"/>
  <c r="AX41" i="3" s="1"/>
  <c r="D8" i="11"/>
  <c r="D35" i="11"/>
  <c r="AI21" i="1"/>
  <c r="AJ21" i="1"/>
  <c r="AK21" i="1" s="1"/>
  <c r="AG40" i="3"/>
  <c r="AH40" i="3" s="1"/>
  <c r="AJ40" i="3" s="1"/>
  <c r="AF40" i="3"/>
  <c r="AV12" i="4"/>
  <c r="AW12" i="4"/>
  <c r="AX12" i="4" s="1"/>
  <c r="BC22" i="1"/>
  <c r="BD22" i="1" s="1"/>
  <c r="BB22" i="1"/>
  <c r="AI10" i="1"/>
  <c r="AJ10" i="1"/>
  <c r="AK10" i="1" s="1"/>
  <c r="AJ32" i="1"/>
  <c r="AK32" i="1" s="1"/>
  <c r="AI32" i="1"/>
  <c r="AJ14" i="1"/>
  <c r="AK14" i="1" s="1"/>
  <c r="AI14" i="1"/>
  <c r="AV41" i="4"/>
  <c r="AW41" i="4"/>
  <c r="AX41" i="4" s="1"/>
  <c r="AG27" i="3"/>
  <c r="AH27" i="3" s="1"/>
  <c r="AJ27" i="3" s="1"/>
  <c r="AF27" i="3"/>
  <c r="AI23" i="1"/>
  <c r="AJ23" i="1"/>
  <c r="AK23" i="1" s="1"/>
  <c r="AF37" i="3"/>
  <c r="AG37" i="3"/>
  <c r="AH37" i="3" s="1"/>
  <c r="AJ37" i="3" s="1"/>
  <c r="AU28" i="3"/>
  <c r="H9" i="11" l="1"/>
  <c r="AV36" i="3"/>
  <c r="AX36" i="3" s="1"/>
  <c r="CM16" i="6"/>
  <c r="H11" i="11"/>
  <c r="CM22" i="6"/>
  <c r="H17" i="11"/>
  <c r="F15" i="17"/>
  <c r="BQ20" i="5"/>
  <c r="CM17" i="6"/>
  <c r="H12" i="11"/>
  <c r="CM9" i="6"/>
  <c r="H4" i="11"/>
  <c r="CK41" i="6"/>
  <c r="CK32" i="6"/>
  <c r="CK31" i="6"/>
  <c r="H19" i="11"/>
  <c r="H7" i="11"/>
  <c r="F34" i="11"/>
  <c r="AX39" i="4"/>
  <c r="H34" i="11"/>
  <c r="H6" i="11"/>
  <c r="H5" i="11"/>
  <c r="H20" i="11"/>
  <c r="G17" i="11"/>
  <c r="F25" i="11"/>
  <c r="F12" i="11"/>
  <c r="F30" i="11"/>
  <c r="F19" i="11"/>
  <c r="D6" i="11"/>
  <c r="L11" i="2"/>
  <c r="D25" i="11"/>
  <c r="L30" i="2"/>
  <c r="L14" i="2"/>
  <c r="D9" i="11"/>
  <c r="L15" i="2"/>
  <c r="D10" i="11"/>
  <c r="H35" i="11"/>
  <c r="F10" i="11"/>
  <c r="H16" i="11"/>
  <c r="H31" i="11"/>
  <c r="H24" i="11"/>
  <c r="G30" i="11"/>
  <c r="H32" i="11"/>
  <c r="H22" i="11"/>
  <c r="H28" i="11"/>
  <c r="H25" i="11"/>
  <c r="H15" i="11"/>
  <c r="H14" i="11"/>
  <c r="H13" i="11"/>
  <c r="G36" i="11"/>
  <c r="G23" i="11"/>
  <c r="F28" i="11"/>
  <c r="F4" i="11"/>
  <c r="F16" i="11"/>
  <c r="F5" i="11"/>
  <c r="F17" i="11"/>
  <c r="F13" i="11"/>
  <c r="F20" i="11"/>
  <c r="F8" i="11"/>
  <c r="L21" i="2"/>
  <c r="D31" i="11"/>
  <c r="D28" i="11"/>
  <c r="F7" i="11"/>
  <c r="F6" i="11"/>
  <c r="F36" i="11"/>
  <c r="F18" i="11"/>
  <c r="D18" i="11"/>
  <c r="L17" i="2"/>
  <c r="D12" i="11"/>
  <c r="G8" i="11"/>
  <c r="F32" i="11"/>
  <c r="F23" i="11"/>
  <c r="F14" i="11"/>
  <c r="F27" i="11"/>
  <c r="D30" i="11"/>
  <c r="H36" i="11" l="1"/>
  <c r="H26" i="11"/>
  <c r="H27" i="11"/>
  <c r="H10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Carla Ruiz D. (DSS)</author>
  </authors>
  <commentList>
    <comment ref="H8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Carla Ruiz D. (DSS):</t>
        </r>
        <r>
          <rPr>
            <sz val="9"/>
            <color indexed="81"/>
            <rFont val="Tahoma"/>
            <family val="2"/>
          </rPr>
          <t xml:space="preserve">
Cuantos niños faltaron para cumplir la meta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Carla Ruiz D. (DSS)</author>
  </authors>
  <commentList>
    <comment ref="AH7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Carla Ruiz D. (DSS):</t>
        </r>
        <r>
          <rPr>
            <sz val="9"/>
            <color indexed="81"/>
            <rFont val="Tahoma"/>
            <family val="2"/>
          </rPr>
          <t xml:space="preserve">
N° mínimo esperado de mujeres con PAP vigente a diciembre 2022</t>
        </r>
      </text>
    </comment>
    <comment ref="AV7" authorId="0" shapeId="0" xr:uid="{39489CDB-B594-4F21-9B17-94F2FE9C4D60}">
      <text>
        <r>
          <rPr>
            <b/>
            <sz val="9"/>
            <color indexed="81"/>
            <rFont val="Tahoma"/>
            <family val="2"/>
          </rPr>
          <t>Carla Ruiz D. (DSS):</t>
        </r>
        <r>
          <rPr>
            <sz val="9"/>
            <color indexed="81"/>
            <rFont val="Tahoma"/>
            <family val="2"/>
          </rPr>
          <t xml:space="preserve">
N° mínimo esperado de mujeres con PAP vigente a diciembre 2022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Jacqueline Brevis P. (DSS)</author>
  </authors>
  <commentList>
    <comment ref="F11" authorId="0" shapeId="0" xr:uid="{67F87EF5-4312-485E-B3D5-823EA39DEE0A}">
      <text>
        <r>
          <rPr>
            <b/>
            <sz val="9"/>
            <color indexed="81"/>
            <rFont val="Tahoma"/>
            <family val="2"/>
          </rPr>
          <t>Jacqueline Brevis P. (DSS):</t>
        </r>
        <r>
          <rPr>
            <sz val="9"/>
            <color indexed="81"/>
            <rFont val="Tahoma"/>
            <family val="2"/>
          </rPr>
          <t xml:space="preserve">
SRNN 12500  + El Roble 3 + Posta Cato 666</t>
        </r>
      </text>
    </comment>
    <comment ref="F14" authorId="0" shapeId="0" xr:uid="{BE7D3CA9-FDD1-4F4C-BE65-0D4B5C6D4EA1}">
      <text>
        <r>
          <rPr>
            <b/>
            <sz val="9"/>
            <color indexed="81"/>
            <rFont val="Tahoma"/>
            <family val="2"/>
          </rPr>
          <t>Jacqueline Brevis P. (DSS):</t>
        </r>
        <r>
          <rPr>
            <sz val="9"/>
            <color indexed="81"/>
            <rFont val="Tahoma"/>
            <family val="2"/>
          </rPr>
          <t xml:space="preserve">
IR 6799 + Doña Isa 57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tc={428AFFB1-E88A-4D4D-A7BA-3A3E649CD1C9}</author>
  </authors>
  <commentList>
    <comment ref="I14" authorId="0" shapeId="0" xr:uid="{428AFFB1-E88A-4D4D-A7BA-3A3E649CD1C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Modificado en resolución de marzo</t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Francisco Rivera G. (DSS)</author>
  </authors>
  <commentList>
    <comment ref="D1" authorId="0" shapeId="0" xr:uid="{235C2BD4-1F3F-417C-84DE-AEF36EEF17EF}">
      <text>
        <r>
          <rPr>
            <sz val="9"/>
            <color indexed="81"/>
            <rFont val="Tahoma"/>
            <family val="2"/>
          </rPr>
          <t>Porcentaje de niños y niñas que, al sexto mes de vida, cuentan con lactancia materna exclusiva</t>
        </r>
      </text>
    </comment>
    <comment ref="G1" authorId="0" shapeId="0" xr:uid="{7D57418C-060D-4628-8E0C-69596E24FCD8}">
      <text>
        <r>
          <rPr>
            <sz val="9"/>
            <color indexed="81"/>
            <rFont val="Tahoma"/>
            <family val="2"/>
          </rPr>
          <t>Porcentaje de niños y niñas que, al sexto mes de vida, cuentan con lactancia materna exclusiva</t>
        </r>
      </text>
    </comment>
    <comment ref="J1" authorId="0" shapeId="0" xr:uid="{D05E885C-CEA3-4F80-A349-8E1C9225AD95}">
      <text>
        <r>
          <rPr>
            <sz val="9"/>
            <color indexed="81"/>
            <rFont val="Tahoma"/>
            <family val="2"/>
          </rPr>
          <t>Porcentaje de niños y niñas que, al sexto mes de vida, cuentan con lactancia materna exclusiva</t>
        </r>
      </text>
    </comment>
    <comment ref="M1" authorId="0" shapeId="0" xr:uid="{AF7DBDDF-5019-483A-B8E1-557E66CC1DD4}">
      <text>
        <r>
          <rPr>
            <sz val="9"/>
            <color indexed="81"/>
            <rFont val="Tahoma"/>
            <family val="2"/>
          </rPr>
          <t>Porcentaje de niños y niñas que, al sexto mes de vida, cuentan con lactancia materna exclusiva</t>
        </r>
      </text>
    </comment>
    <comment ref="D2" authorId="0" shapeId="0" xr:uid="{716E1BD7-19FB-4682-BF3D-8FACCEBBFCB1}">
      <text>
        <r>
          <rPr>
            <sz val="8"/>
            <color indexed="81"/>
            <rFont val="Tahoma"/>
            <family val="2"/>
          </rPr>
          <t>Nº de niños/as que al control de salud del sexto mes recibieron LME en el periodo de enero-diciembre 2020</t>
        </r>
      </text>
    </comment>
    <comment ref="E2" authorId="0" shapeId="0" xr:uid="{5AAB2E22-7100-49D9-A56F-3F967CE3DF72}">
      <text>
        <r>
          <rPr>
            <sz val="8"/>
            <color indexed="81"/>
            <rFont val="Tahoma"/>
            <family val="2"/>
          </rPr>
          <t>Nº de niño/as con control de salud del sexto mes realizado en el periodo de enero a diciembre de 2020</t>
        </r>
      </text>
    </comment>
    <comment ref="G2" authorId="0" shapeId="0" xr:uid="{9FA0F05F-1259-48DB-87D8-1D085FC4FD9A}">
      <text>
        <r>
          <rPr>
            <sz val="8"/>
            <color indexed="81"/>
            <rFont val="Tahoma"/>
            <family val="2"/>
          </rPr>
          <t>Nº de niños/as que al control de salud del sexto mes recibieron LME en el periodo de enero-diciembre 2020</t>
        </r>
      </text>
    </comment>
    <comment ref="H2" authorId="0" shapeId="0" xr:uid="{A8BE547F-3444-4754-8DAB-CD8075DBC2A8}">
      <text>
        <r>
          <rPr>
            <sz val="8"/>
            <color indexed="81"/>
            <rFont val="Tahoma"/>
            <family val="2"/>
          </rPr>
          <t>Nº de niño/as con control de salud del sexto mes realizado en el periodo de enero a diciembre de 2020</t>
        </r>
      </text>
    </comment>
    <comment ref="J2" authorId="0" shapeId="0" xr:uid="{76E9DC4D-A009-47D3-ADD2-CFF9259AAA93}">
      <text>
        <r>
          <rPr>
            <sz val="8"/>
            <color indexed="81"/>
            <rFont val="Tahoma"/>
            <family val="2"/>
          </rPr>
          <t>Nº de niños/as que al control de salud del sexto mes recibieron LME en el periodo de enero-diciembre 2020</t>
        </r>
      </text>
    </comment>
    <comment ref="K2" authorId="0" shapeId="0" xr:uid="{79EC0C68-77EB-4BB9-911F-86F8154B420E}">
      <text>
        <r>
          <rPr>
            <sz val="8"/>
            <color indexed="81"/>
            <rFont val="Tahoma"/>
            <family val="2"/>
          </rPr>
          <t>Nº de niño/as con control de salud del sexto mes realizado en el periodo de enero a diciembre de 2020</t>
        </r>
      </text>
    </comment>
    <comment ref="M2" authorId="0" shapeId="0" xr:uid="{82EF650F-AD9A-4AE0-852F-9F06A03F41C9}">
      <text>
        <r>
          <rPr>
            <sz val="8"/>
            <color indexed="81"/>
            <rFont val="Tahoma"/>
            <family val="2"/>
          </rPr>
          <t>Nº de niños/as que al control de salud del sexto mes recibieron LME en el periodo de enero-diciembre 2020</t>
        </r>
      </text>
    </comment>
    <comment ref="N2" authorId="0" shapeId="0" xr:uid="{CDF87FE7-5FCA-4F2C-ACD6-3438D76E98A9}">
      <text>
        <r>
          <rPr>
            <sz val="8"/>
            <color indexed="81"/>
            <rFont val="Tahoma"/>
            <family val="2"/>
          </rPr>
          <t>Nº de niño/as con control de salud del sexto mes realizado en el periodo de enero a diciembre de 2020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 Soledad Retamal Y. (DSS)</author>
  </authors>
  <commentList>
    <comment ref="G10" authorId="0" shapeId="0" xr:uid="{C8992769-034B-4671-9776-DB638510D050}">
      <text>
        <r>
          <rPr>
            <b/>
            <sz val="9"/>
            <color indexed="81"/>
            <rFont val="Tahoma"/>
            <family val="2"/>
          </rPr>
          <t>Maria Soledad Retamal Y. (DSS):</t>
        </r>
        <r>
          <rPr>
            <sz val="9"/>
            <color indexed="81"/>
            <rFont val="Tahoma"/>
            <family val="2"/>
          </rPr>
          <t xml:space="preserve">
Modificada</t>
        </r>
      </text>
    </comment>
    <comment ref="I10" authorId="0" shapeId="0" xr:uid="{4C93D5BF-59E2-40BD-8019-B71BA14306D6}">
      <text>
        <r>
          <rPr>
            <b/>
            <sz val="9"/>
            <color indexed="81"/>
            <rFont val="Tahoma"/>
            <family val="2"/>
          </rPr>
          <t>Maria Soledad Retamal Y. (DSS):</t>
        </r>
        <r>
          <rPr>
            <sz val="9"/>
            <color indexed="81"/>
            <rFont val="Tahoma"/>
            <family val="2"/>
          </rPr>
          <t xml:space="preserve">
Modificada</t>
        </r>
      </text>
    </comment>
    <comment ref="G20" authorId="0" shapeId="0" xr:uid="{DB466D06-F05B-45B0-8205-8EF5D0226919}">
      <text>
        <r>
          <rPr>
            <b/>
            <sz val="9"/>
            <color indexed="81"/>
            <rFont val="Tahoma"/>
            <family val="2"/>
          </rPr>
          <t>Maria Soledad Retamal Y. (DSS):</t>
        </r>
        <r>
          <rPr>
            <sz val="9"/>
            <color indexed="81"/>
            <rFont val="Tahoma"/>
            <family val="2"/>
          </rPr>
          <t xml:space="preserve">
Modificada</t>
        </r>
      </text>
    </comment>
    <comment ref="I20" authorId="0" shapeId="0" xr:uid="{5F028F9E-17ED-4857-87F1-34E9FC222425}">
      <text>
        <r>
          <rPr>
            <b/>
            <sz val="9"/>
            <color indexed="81"/>
            <rFont val="Tahoma"/>
            <family val="2"/>
          </rPr>
          <t>Maria Soledad Retamal Y. (DSS):</t>
        </r>
        <r>
          <rPr>
            <sz val="9"/>
            <color indexed="81"/>
            <rFont val="Tahoma"/>
            <family val="2"/>
          </rPr>
          <t xml:space="preserve">
Modificada</t>
        </r>
      </text>
    </comment>
    <comment ref="G22" authorId="0" shapeId="0" xr:uid="{88096B9A-3FAE-42E4-ABB5-5FAE134EF1A3}">
      <text>
        <r>
          <rPr>
            <b/>
            <sz val="9"/>
            <color indexed="81"/>
            <rFont val="Tahoma"/>
            <family val="2"/>
          </rPr>
          <t>Maria Soledad Retamal Y. (DSS):</t>
        </r>
        <r>
          <rPr>
            <sz val="9"/>
            <color indexed="81"/>
            <rFont val="Tahoma"/>
            <family val="2"/>
          </rPr>
          <t xml:space="preserve">
Modificada</t>
        </r>
      </text>
    </comment>
    <comment ref="I22" authorId="0" shapeId="0" xr:uid="{D7371C68-D615-4D1C-AEE5-96CE737B1DF3}">
      <text>
        <r>
          <rPr>
            <b/>
            <sz val="9"/>
            <color indexed="81"/>
            <rFont val="Tahoma"/>
            <family val="2"/>
          </rPr>
          <t>Maria Soledad Retamal Y. (DSS):</t>
        </r>
        <r>
          <rPr>
            <sz val="9"/>
            <color indexed="81"/>
            <rFont val="Tahoma"/>
            <family val="2"/>
          </rPr>
          <t xml:space="preserve">
Modificada</t>
        </r>
      </text>
    </comment>
    <comment ref="G26" authorId="0" shapeId="0" xr:uid="{264B349B-BD95-4458-963A-A0BA20D3ABE4}">
      <text>
        <r>
          <rPr>
            <b/>
            <sz val="9"/>
            <color indexed="81"/>
            <rFont val="Tahoma"/>
            <family val="2"/>
          </rPr>
          <t>Maria Soledad Retamal Y. (DSS):</t>
        </r>
        <r>
          <rPr>
            <sz val="9"/>
            <color indexed="81"/>
            <rFont val="Tahoma"/>
            <family val="2"/>
          </rPr>
          <t xml:space="preserve">
Modificada</t>
        </r>
      </text>
    </comment>
    <comment ref="I26" authorId="0" shapeId="0" xr:uid="{4881F4BB-F72E-4454-BB08-E980F7A3D3B2}">
      <text>
        <r>
          <rPr>
            <b/>
            <sz val="9"/>
            <color indexed="81"/>
            <rFont val="Tahoma"/>
            <family val="2"/>
          </rPr>
          <t>Maria Soledad Retamal Y. (DSS):</t>
        </r>
        <r>
          <rPr>
            <sz val="9"/>
            <color indexed="81"/>
            <rFont val="Tahoma"/>
            <family val="2"/>
          </rPr>
          <t xml:space="preserve">
Modificada</t>
        </r>
      </text>
    </comment>
    <comment ref="G30" authorId="0" shapeId="0" xr:uid="{BE6CB266-46D2-4059-9339-C255655EADC0}">
      <text>
        <r>
          <rPr>
            <b/>
            <sz val="9"/>
            <color indexed="81"/>
            <rFont val="Tahoma"/>
            <family val="2"/>
          </rPr>
          <t>Maria Soledad Retamal Y. (DSS):</t>
        </r>
        <r>
          <rPr>
            <sz val="9"/>
            <color indexed="81"/>
            <rFont val="Tahoma"/>
            <family val="2"/>
          </rPr>
          <t xml:space="preserve">
Modificada</t>
        </r>
      </text>
    </comment>
    <comment ref="I30" authorId="0" shapeId="0" xr:uid="{14E74ACF-0443-4056-83D5-A456EDA45B0F}">
      <text>
        <r>
          <rPr>
            <b/>
            <sz val="9"/>
            <color indexed="81"/>
            <rFont val="Tahoma"/>
            <family val="2"/>
          </rPr>
          <t>Maria Soledad Retamal Y. (DSS):</t>
        </r>
        <r>
          <rPr>
            <sz val="9"/>
            <color indexed="81"/>
            <rFont val="Tahoma"/>
            <family val="2"/>
          </rPr>
          <t xml:space="preserve">
Modificada</t>
        </r>
      </text>
    </comment>
    <comment ref="G34" authorId="0" shapeId="0" xr:uid="{0FE72372-ED28-41BD-A0BF-C83E0174BA33}">
      <text>
        <r>
          <rPr>
            <b/>
            <sz val="9"/>
            <color indexed="81"/>
            <rFont val="Tahoma"/>
            <family val="2"/>
          </rPr>
          <t>Maria Soledad Retamal Y. (DSS):</t>
        </r>
        <r>
          <rPr>
            <sz val="9"/>
            <color indexed="81"/>
            <rFont val="Tahoma"/>
            <family val="2"/>
          </rPr>
          <t xml:space="preserve">
Modificada</t>
        </r>
      </text>
    </comment>
    <comment ref="I34" authorId="0" shapeId="0" xr:uid="{D6C3130A-705C-4C76-B1A4-2CEDD3A117D3}">
      <text>
        <r>
          <rPr>
            <b/>
            <sz val="9"/>
            <color indexed="81"/>
            <rFont val="Tahoma"/>
            <family val="2"/>
          </rPr>
          <t>Maria Soledad Retamal Y. (DSS):</t>
        </r>
        <r>
          <rPr>
            <sz val="9"/>
            <color indexed="81"/>
            <rFont val="Tahoma"/>
            <family val="2"/>
          </rPr>
          <t xml:space="preserve">
Modificada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Carla Ruiz D. (DSS)</author>
  </authors>
  <commentList>
    <comment ref="AK7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Carla Ruiz D. (DSS):</t>
        </r>
        <r>
          <rPr>
            <sz val="9"/>
            <color indexed="81"/>
            <rFont val="Tahoma"/>
            <family val="2"/>
          </rPr>
          <t xml:space="preserve">
N° mínimo esperado de mujeres con PAP vigente a diciembre 2022</t>
        </r>
      </text>
    </comment>
    <comment ref="Q8" authorId="0" shapeId="0" xr:uid="{00000000-0006-0000-0A00-000002000000}">
      <text>
        <r>
          <rPr>
            <b/>
            <sz val="9"/>
            <color indexed="81"/>
            <rFont val="Tahoma"/>
            <family val="2"/>
          </rPr>
          <t>Carla Ruiz D. (DSS):</t>
        </r>
        <r>
          <rPr>
            <sz val="9"/>
            <color indexed="81"/>
            <rFont val="Tahoma"/>
            <family val="2"/>
          </rPr>
          <t xml:space="preserve">
Cuantos niños faltaron para cumplir la meta</t>
        </r>
      </text>
    </comment>
    <comment ref="CM9" authorId="0" shapeId="0" xr:uid="{00000000-0006-0000-0A00-000003000000}">
      <text>
        <r>
          <rPr>
            <b/>
            <sz val="9"/>
            <color indexed="81"/>
            <rFont val="Tahoma"/>
            <family val="2"/>
          </rPr>
          <t>Carla Ruiz D. (DSS):</t>
        </r>
        <r>
          <rPr>
            <sz val="9"/>
            <color indexed="81"/>
            <rFont val="Tahoma"/>
            <family val="2"/>
          </rPr>
          <t xml:space="preserve">
250+483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<sst xmlns="http://schemas.openxmlformats.org/spreadsheetml/2006/main" count="3420" uniqueCount="403">
  <si>
    <t>Porcentaje de niños y niñas de 12 a 23 meses con riesgo del desarrollo psicomotor recuperados.</t>
  </si>
  <si>
    <t>Numerador</t>
  </si>
  <si>
    <t>Denominador</t>
  </si>
  <si>
    <t>Meta Nacional</t>
  </si>
  <si>
    <t>Meta Municipal 2022</t>
  </si>
  <si>
    <t>Sí el año 2021 registra un cumplimiento inferior a la meta nacional, se debe avanzar al menos en un 30% de la brecha.</t>
  </si>
  <si>
    <t>CESFAM SAN RAMON NONATO</t>
  </si>
  <si>
    <t>DIGUILLÍN</t>
  </si>
  <si>
    <t>CESFAM ULTRAESTACION</t>
  </si>
  <si>
    <t>CESFAM ISABEL RIQUELME</t>
  </si>
  <si>
    <t>CESFAM QUINCHAMALI</t>
  </si>
  <si>
    <t>CESFAM LOS VOLCANES</t>
  </si>
  <si>
    <t>CESFAM SOL DE ORIENTE</t>
  </si>
  <si>
    <t>CESFAM DR. FEDERICO PUGA B.</t>
  </si>
  <si>
    <t>CESFAM MICHELLE BACHELET</t>
  </si>
  <si>
    <t>DESAMU EL CARMEN</t>
  </si>
  <si>
    <t>CESFAM PEMUCO</t>
  </si>
  <si>
    <t>CESFAM PINTO</t>
  </si>
  <si>
    <t>CESFAM QUILLON</t>
  </si>
  <si>
    <t>CESFAM SAN IGNACIO</t>
  </si>
  <si>
    <t>CESFAM QUIRIQUINA</t>
  </si>
  <si>
    <t>CGR PUEBLO SECO</t>
  </si>
  <si>
    <t>CESFAM CAMPANARIO</t>
  </si>
  <si>
    <t>CESFAM SANTA CLARA</t>
  </si>
  <si>
    <t>CESFAM COBQUECURA</t>
  </si>
  <si>
    <t>ITATA</t>
  </si>
  <si>
    <t>DESAMU COELEMU</t>
  </si>
  <si>
    <t>CESFAM NINHUE</t>
  </si>
  <si>
    <t>CESFAM PORTEZUELO</t>
  </si>
  <si>
    <t>DESAMU QUIRIHUE</t>
  </si>
  <si>
    <t>CESFAM ÑIPAS</t>
  </si>
  <si>
    <t>CESFAM TREHUACO</t>
  </si>
  <si>
    <t>CESFAM COIHUECO</t>
  </si>
  <si>
    <t>PUNILLA</t>
  </si>
  <si>
    <t>CESFAM LUIS MONTECINOS</t>
  </si>
  <si>
    <t>CESFAM SAN GREGORIO</t>
  </si>
  <si>
    <t>CESFAM DR. JOSE DURAN TRUJILLO</t>
  </si>
  <si>
    <t>CESFAM TERESA BALDECCHI</t>
  </si>
  <si>
    <t>CESFAM SAN FABIAN</t>
  </si>
  <si>
    <t>CESFAM SAN NICOLAS</t>
  </si>
  <si>
    <t>Establecimiento</t>
  </si>
  <si>
    <t>Provincia</t>
  </si>
  <si>
    <t>Cumplimiento  junio 2021</t>
  </si>
  <si>
    <t>Brecha</t>
  </si>
  <si>
    <t>30% de la brecha</t>
  </si>
  <si>
    <t>Meta 2022</t>
  </si>
  <si>
    <t>N° de niños y niñas de 12 a 23 meses diagnosticados con riesgo de Desarrollo Psicomotor en su primera evaluación, período enero a diciembre 2022.</t>
  </si>
  <si>
    <t>N° de niños y niñas de 12 a 23 meses diagnosticados con riesgo del DSM recuperados, período enero a diciembre 2022.</t>
  </si>
  <si>
    <t>Sí el año 2021 registra un cumplimiento inferior a la meta nacional, se debe avanzar al menos en un 25% de la brecha.</t>
  </si>
  <si>
    <t>Porcentaje de mujeres de 25 a 64 años con PAP vigente en los últimos 3 años</t>
  </si>
  <si>
    <t>N° logrado de mujeres de 25 a 64 años inscritas validadas por FONASA, con PAP vigente a diciembre 2022</t>
  </si>
  <si>
    <t>N° de mujeres de 25 a 64 años inscritas validadas por FONASA para el año 2022</t>
  </si>
  <si>
    <t>Control con enfoque de riesgo odontológico en el periodo enero a diciembre 2022.</t>
  </si>
  <si>
    <t>N° de niños(as) de 0 a 9 años con control con enfoque de riesgo odontológico en el periodo enero a diciembre 2022.</t>
  </si>
  <si>
    <t>N° total de niños(as) de 0 a 9 años inscritos validados año 2022.</t>
  </si>
  <si>
    <t>Sí el año 2021 registra un cumplimiento inferior a la meta nacional, se debe avanzar al menos en un 50% de la brecha.</t>
  </si>
  <si>
    <t xml:space="preserve">Niños y niñas de 6 años libres de caries </t>
  </si>
  <si>
    <t>N° de niños(as) de 6 años con ceod igual a 0 en el periodo enero a diciembre 2022</t>
  </si>
  <si>
    <t>N° total de niños(as) de 6 años inscritos validados para el año 2022.</t>
  </si>
  <si>
    <t>Porcentaje de cobertura efectiva de personas con DIABETES MELLITUS TIPO  2 en personas de 15 años y más.</t>
  </si>
  <si>
    <t>N° de personas con DM2 de 15 a 79 años, con Hemoglobina Glicosada bajo 7% + N° de personas con DM2 de 80 y más años, con Hemoglobina Glicosada bajo 8%</t>
  </si>
  <si>
    <t xml:space="preserve">N° total de personas de 15 años y más con DM2 estimadas según prevalencia. </t>
  </si>
  <si>
    <t>50% de la brecha</t>
  </si>
  <si>
    <t xml:space="preserve">Porcentaje de personas con diabetes de 15 años y más con evaluación anual de pie. </t>
  </si>
  <si>
    <t>N° de personas de 15 años y más con DM2 bajo control, con evaluación de pie vigente en los últimos 12 meses.</t>
  </si>
  <si>
    <t>N° total de personas de 15 años y más con DM2 bajo control en los últimos 12 meses.</t>
  </si>
  <si>
    <t>Porcentaje de personas mayores de 15 años  y más con cobertura efectiva de hipertensión arterial.</t>
  </si>
  <si>
    <t>Nº personas hipertensas de 15 a 79 años con PA&lt;140/90 mmHg más Nº personas hipertensas de 80 y más años con PA&lt;150/90 mmHg, según último control vigente</t>
  </si>
  <si>
    <t>Porcentaje de niños y niñas que, al sexto mes de vida, cuentan con lactancia materna exclusiva.</t>
  </si>
  <si>
    <t>Sí el año 2021 registra un cumplimiento inferior a la meta nacional, se debe avanzar al menos en un 15% de la brecha.</t>
  </si>
  <si>
    <t>Nº de niños/as que al control de salud del sexto mes recibieron LME en el periodo de enero-diciembre 2022</t>
  </si>
  <si>
    <t>Nº de niño/as con control de salud del sexto mes realizado en el periodo de enero a diciembre de 2022</t>
  </si>
  <si>
    <t xml:space="preserve"> Total de personas hipertensas de 15 y más años estimadas según prevalencia</t>
  </si>
  <si>
    <t>aut</t>
  </si>
  <si>
    <t>-</t>
  </si>
  <si>
    <t xml:space="preserve">Meta 7: </t>
  </si>
  <si>
    <t>Diseño, ejecución y evaluación de un plan de participación social elaborado por el equipo de salud, del establecimiento o comuna, en conjunto con su comunidad, en reciprocidad con el modelo de salud familiar</t>
  </si>
  <si>
    <t>N° de Actividades Ejecutadas</t>
  </si>
  <si>
    <t>N° de Actividades Comprometidas</t>
  </si>
  <si>
    <t>Se espera que todos los establecimientos elaboren, ejecuten y evaluen el Plan de Participación Social</t>
  </si>
  <si>
    <t>Meta Nacional 2022</t>
  </si>
  <si>
    <t>Meta Local 2022</t>
  </si>
  <si>
    <t>N</t>
  </si>
  <si>
    <t>D</t>
  </si>
  <si>
    <t xml:space="preserve"> Logro a dic 2020</t>
  </si>
  <si>
    <t>Logro a junio 2021</t>
  </si>
  <si>
    <t>Logro a Sept. 2021</t>
  </si>
  <si>
    <t>Logro %</t>
  </si>
  <si>
    <t>Logro a agosto 2021</t>
  </si>
  <si>
    <t>Logro a dic 2019</t>
  </si>
  <si>
    <t>N° de mujeres 25 a 64 años inscritas con PAP vigente a dic. 2019</t>
  </si>
  <si>
    <t>Total N° de mujeres 25 a 64 años inscritas y validadas año 2021</t>
  </si>
  <si>
    <t>%</t>
  </si>
  <si>
    <t>N°</t>
  </si>
  <si>
    <t>30% brecha</t>
  </si>
  <si>
    <t>25% brecha</t>
  </si>
  <si>
    <t>50% brecha</t>
  </si>
  <si>
    <t>15% brecha</t>
  </si>
  <si>
    <t>Meta 2: ≥ 80%</t>
  </si>
  <si>
    <t>Meta 3A: ≥ 35%</t>
  </si>
  <si>
    <t>Meta 3B: ≥ 11%</t>
  </si>
  <si>
    <t>Meta 4A: ≥ 28%</t>
  </si>
  <si>
    <t xml:space="preserve">Meta 4B : ≥ 90% </t>
  </si>
  <si>
    <t xml:space="preserve">Meta 5: ≥ 43% </t>
  </si>
  <si>
    <t xml:space="preserve">Meta 6: ≥ 60% </t>
  </si>
  <si>
    <r>
      <rPr>
        <sz val="10"/>
        <color theme="0"/>
        <rFont val="Calibri"/>
        <family val="2"/>
        <scheme val="minor"/>
      </rPr>
      <t xml:space="preserve">Meta 1: </t>
    </r>
    <r>
      <rPr>
        <sz val="10"/>
        <color theme="0"/>
        <rFont val="Calibri"/>
        <family val="2"/>
      </rPr>
      <t>≥ 90%</t>
    </r>
  </si>
  <si>
    <t>Cumplimiento junio 2021</t>
  </si>
  <si>
    <t>ESTABLECIMIENTO</t>
  </si>
  <si>
    <t>PROVINCIA</t>
  </si>
  <si>
    <t>META</t>
  </si>
  <si>
    <r>
      <t xml:space="preserve">Meta 1 </t>
    </r>
    <r>
      <rPr>
        <sz val="11"/>
        <color theme="0"/>
        <rFont val="Calibri"/>
        <family val="2"/>
      </rPr>
      <t>≥ 90%</t>
    </r>
  </si>
  <si>
    <r>
      <t xml:space="preserve">Meta 2 </t>
    </r>
    <r>
      <rPr>
        <sz val="11"/>
        <color theme="0"/>
        <rFont val="Calibri"/>
        <family val="2"/>
      </rPr>
      <t>≥ 80%</t>
    </r>
  </si>
  <si>
    <r>
      <t xml:space="preserve">Meta 3a </t>
    </r>
    <r>
      <rPr>
        <sz val="11"/>
        <color theme="0"/>
        <rFont val="Calibri"/>
        <family val="2"/>
      </rPr>
      <t>≥ 35%</t>
    </r>
  </si>
  <si>
    <r>
      <t xml:space="preserve">Meta 3b </t>
    </r>
    <r>
      <rPr>
        <sz val="11"/>
        <color theme="0"/>
        <rFont val="Calibri"/>
        <family val="2"/>
      </rPr>
      <t>≥ 11%</t>
    </r>
  </si>
  <si>
    <r>
      <t xml:space="preserve">Meta 4a </t>
    </r>
    <r>
      <rPr>
        <sz val="11"/>
        <color theme="0"/>
        <rFont val="Calibri"/>
        <family val="2"/>
      </rPr>
      <t>≥ 28%</t>
    </r>
  </si>
  <si>
    <r>
      <t xml:space="preserve">Meta 4b </t>
    </r>
    <r>
      <rPr>
        <sz val="11"/>
        <color theme="0"/>
        <rFont val="Calibri"/>
        <family val="2"/>
      </rPr>
      <t>≥ 90%</t>
    </r>
  </si>
  <si>
    <r>
      <t xml:space="preserve">Meta 5 </t>
    </r>
    <r>
      <rPr>
        <sz val="11"/>
        <color theme="0"/>
        <rFont val="Calibri"/>
        <family val="2"/>
      </rPr>
      <t>≥ 43%</t>
    </r>
  </si>
  <si>
    <r>
      <t xml:space="preserve">Meta 6 </t>
    </r>
    <r>
      <rPr>
        <sz val="11"/>
        <color theme="0"/>
        <rFont val="Calibri"/>
        <family val="2"/>
      </rPr>
      <t>≥ 60%</t>
    </r>
  </si>
  <si>
    <r>
      <t xml:space="preserve">Meta 7 </t>
    </r>
    <r>
      <rPr>
        <sz val="11"/>
        <color theme="0"/>
        <rFont val="Calibri"/>
        <family val="2"/>
      </rPr>
      <t>≥ 80%</t>
    </r>
  </si>
  <si>
    <t>Logro a dic 2021</t>
  </si>
  <si>
    <t>N° de mujeres 25 a 64 años inscritas con PAP vigente a dic. 2021</t>
  </si>
  <si>
    <t>Aplicado el 90%</t>
  </si>
  <si>
    <t xml:space="preserve">N° Mínimo esperado </t>
  </si>
  <si>
    <t xml:space="preserve"> </t>
  </si>
  <si>
    <t>Número mínimo esperado</t>
  </si>
  <si>
    <t>Meta local 2022 (%)</t>
  </si>
  <si>
    <t>Sí el año 2022 registra un cumplimiento inferior a la meta nacional, se debe avanzar al menos en un 50% de la brecha.</t>
  </si>
  <si>
    <t>COBERTURA DE TRATAMIENTO EN PERSONAS CON ASMA Y EPOC</t>
  </si>
  <si>
    <t>Meta Nacional 2023</t>
  </si>
  <si>
    <t>LB</t>
  </si>
  <si>
    <t xml:space="preserve">Meta 8: </t>
  </si>
  <si>
    <t>N° logrado de mujeres de 25 a 64 años inscritas validadas por FONASA, con PAP vigente a diciembre 2023</t>
  </si>
  <si>
    <t>N° de mujeres de 25 a 64 años inscritas validadas por FONASA para el año 2023</t>
  </si>
  <si>
    <t>Logro a Dic. 2022</t>
  </si>
  <si>
    <t>Meta Municipal 2023</t>
  </si>
  <si>
    <t>Sí el año 2023 registra un cumplimiento inferior a la meta nacional, se debe avanzar al menos en un 30% de la brecha.</t>
  </si>
  <si>
    <t>N° de niños y niñas de 12 a 23 meses diagnosticados con riesgo del DSM recuperados, período enero a diciembre 2023.</t>
  </si>
  <si>
    <t>Meta Final 2023</t>
  </si>
  <si>
    <t>Meta Local 2023</t>
  </si>
  <si>
    <t>Sí el año 2023 registra un cumplimiento inferior a la meta nacional, se debe avanzar al menos en un 25% de la brecha.</t>
  </si>
  <si>
    <t>Control con enfoque de riesgo odontológico en el periodo enero a diciembre 2023.</t>
  </si>
  <si>
    <t>Sí el año 2023 registra un cumplimiento inferior a la meta nacional, se debe avanzar al menos en un 50% de la brecha.</t>
  </si>
  <si>
    <t>Sí el año 2022 registra un cumplimiento inferior a la meta nacional, se debe avanzar al menos en un 15% de la brecha.</t>
  </si>
  <si>
    <t>Logro a Diciembre 2022</t>
  </si>
  <si>
    <t>Meta 2023</t>
  </si>
  <si>
    <t>N° de niños y niñas de 12 a 23 meses diagnosticados en su primera evaluación con riesgo del Desarrollo Psicomotor en el periodo de octubre 2022 - septiembre 2023</t>
  </si>
  <si>
    <t>Nº logrado de personas de 25 a 64 años inscritas validadas por FONASA con tamizaje para la detección precoz del cáncer de cuello uterino a diciembre 2023</t>
  </si>
  <si>
    <t>Nº de mujeres de25 a 64 años inscritas validadas por FONASA para el año 2023</t>
  </si>
  <si>
    <t>N° de niños(as) de 0 a 9 años en control con enfoque de riesgo odontológico y pauta 0 aplicada en periodo enero a diciembre 2023.</t>
  </si>
  <si>
    <t>N° total de niños(as) inscritos validados de 0 a 9 años, año 2023.</t>
  </si>
  <si>
    <t xml:space="preserve">N° de niños(as) de 6 años con CEOD igual a 0 en el periodo enero a diciembre 2023 </t>
  </si>
  <si>
    <t>N° total de niños(as) inscritos validados de 6 años, año 2023</t>
  </si>
  <si>
    <t>N° de personas de 15 años y más con DM2 bajo control en los últimos 12 meses</t>
  </si>
  <si>
    <t>Nº de niños y niñas controlados en el período de enero a diciembre de 2023 que al control de salud del sexto mes mantuvieron LME.</t>
  </si>
  <si>
    <t>Nº de niños y niñas con control de salud del sexto mes realizado en el período de enero a diciembre de 2023.</t>
  </si>
  <si>
    <t>≥ 90%</t>
  </si>
  <si>
    <t>≥ 35%</t>
  </si>
  <si>
    <t>Meta 4A  ≥  28%</t>
  </si>
  <si>
    <t>≥ 43%</t>
  </si>
  <si>
    <t>≥  60%</t>
  </si>
  <si>
    <t xml:space="preserve">≥ 80% </t>
  </si>
  <si>
    <r>
      <t> </t>
    </r>
    <r>
      <rPr>
        <b/>
        <sz val="9.5"/>
        <color rgb="FF000000"/>
        <rFont val="Calibri"/>
        <family val="2"/>
      </rPr>
      <t>DIGUILLÍN</t>
    </r>
  </si>
  <si>
    <t>SI</t>
  </si>
  <si>
    <t>N/A</t>
  </si>
  <si>
    <t xml:space="preserve">         META SANITARIA N°2:    COBERTURA DE MUJERES CON PAP VIGENTE- ÑUBLE-  AÑO 2023</t>
  </si>
  <si>
    <t>ESTABLECIMIENTOS</t>
  </si>
  <si>
    <t>N° DE MUJERES 25 A 64 AÑOS INSCRITAS CON PAP VIGENTE A DICIEMBRE 2022</t>
  </si>
  <si>
    <t>TOTAL N° DE MUJERES 25 A 64 AÑOS INSCRITAS Y VALIDADAS AÑO 2023</t>
  </si>
  <si>
    <t>META COBERTURA NACIONAL 80% POBLACIÓN INSCRITA (E*80%)</t>
  </si>
  <si>
    <t>BRECHA ENTRE N° MUJERES CON PAP VIGENTE A DIC 2022 Y N° MUJERES ESPERADAS CON 80% DE COBERTURA (F-D)</t>
  </si>
  <si>
    <t>30% DE LA BRECHA (G*30%)</t>
  </si>
  <si>
    <t>N° MINIMO ESPERADO DE MUJERES CON PAP VIGENTE A DICIEMBRE 2023 (D+H)</t>
  </si>
  <si>
    <t xml:space="preserve">DIGUILLIN </t>
  </si>
  <si>
    <t>COMUNA CHILLÁN</t>
  </si>
  <si>
    <t>COMUNA CHILLÁN VIEJO</t>
  </si>
  <si>
    <t>COMUNA PINTO</t>
  </si>
  <si>
    <t>COMUNA BULNES</t>
  </si>
  <si>
    <t>COMUNA YUNGAY</t>
  </si>
  <si>
    <t>COMUNA EL CARMEN</t>
  </si>
  <si>
    <t>COMUNA PEMUCO</t>
  </si>
  <si>
    <t>COMUNA QUILLON</t>
  </si>
  <si>
    <t>COMUNA SAN IGNACIO</t>
  </si>
  <si>
    <t xml:space="preserve">ITATA </t>
  </si>
  <si>
    <t>COMUNA QUIRIHUE</t>
  </si>
  <si>
    <t>POSTA LOS REMATES</t>
  </si>
  <si>
    <t>COMUNA NINHUE</t>
  </si>
  <si>
    <t>COMUNA COELEMU</t>
  </si>
  <si>
    <t>COMUNA TREHUACO</t>
  </si>
  <si>
    <t>COMUNA RANQUIL</t>
  </si>
  <si>
    <t>COMUNA PORTEZUELO</t>
  </si>
  <si>
    <t>COMUNA COBQUECURA</t>
  </si>
  <si>
    <t xml:space="preserve">PUNILLA </t>
  </si>
  <si>
    <t>COMUNA COIHUECO</t>
  </si>
  <si>
    <t>COMUNA SAN CARLOS</t>
  </si>
  <si>
    <t>COMUNA SAN NICOLAS</t>
  </si>
  <si>
    <t>COMUNA ÑIQUEN</t>
  </si>
  <si>
    <t>COMUNA SAN FABIAN</t>
  </si>
  <si>
    <t>TOTAL ÑUBLE Municipal</t>
  </si>
  <si>
    <t>MT.JBP/DAP /DSSÑ</t>
  </si>
  <si>
    <t>METAS SANITARIAS</t>
  </si>
  <si>
    <t>CESFAM</t>
  </si>
  <si>
    <t>3.A CONTROL ODONTOLÓGICO EN POBLACIÓN 0 A 9 AÑOS</t>
  </si>
  <si>
    <t>3.B NIÑOS Y NIÑAS DE 6 AÑOS LIBRES DE CARIES</t>
  </si>
  <si>
    <t>NUM</t>
  </si>
  <si>
    <t>DEN</t>
  </si>
  <si>
    <t>META ANUAL</t>
  </si>
  <si>
    <t>REM A.03, SECCIÓN D.7 CELDAS F199 a Y199</t>
  </si>
  <si>
    <t>POBL. INSCRITA 0 A 9 AÑOS</t>
  </si>
  <si>
    <t>REM A09, SECCIÓN C, CELDAS S48 a T48</t>
  </si>
  <si>
    <t>POBL. INSCRITA 6 AÑOS</t>
  </si>
  <si>
    <t>SANTA CLARA</t>
  </si>
  <si>
    <t>SAN RAMON NONATO</t>
  </si>
  <si>
    <t>ULTRAESTACION</t>
  </si>
  <si>
    <t>ISABEL RIQUELME</t>
  </si>
  <si>
    <t>QUINCHAMALI</t>
  </si>
  <si>
    <t>LOS VOLCANES</t>
  </si>
  <si>
    <t>SOL DE ORIENTE</t>
  </si>
  <si>
    <t>FEDERICO PUGA</t>
  </si>
  <si>
    <t>MICHELLE BACHELET</t>
  </si>
  <si>
    <t>EL CARMEN</t>
  </si>
  <si>
    <t>PEMUCO</t>
  </si>
  <si>
    <t>PINTO</t>
  </si>
  <si>
    <t>QUILLON</t>
  </si>
  <si>
    <t>SAN IGNACIO</t>
  </si>
  <si>
    <t>QUIRIQUINA</t>
  </si>
  <si>
    <t>PUEBLO SECO</t>
  </si>
  <si>
    <t>CAMPANARIO</t>
  </si>
  <si>
    <t>COIHUECO</t>
  </si>
  <si>
    <t>LUIS MONTECINOS</t>
  </si>
  <si>
    <t>SAN FABIÁN</t>
  </si>
  <si>
    <t>SAN NICOLÁS</t>
  </si>
  <si>
    <t>ÑIQUÉN</t>
  </si>
  <si>
    <t>TERESA BALDECCHI</t>
  </si>
  <si>
    <t>DURÁN TRUJILLO</t>
  </si>
  <si>
    <t>COBQUECURA</t>
  </si>
  <si>
    <t>COELEMU</t>
  </si>
  <si>
    <t>NINHUE</t>
  </si>
  <si>
    <t>PORTEZUELO</t>
  </si>
  <si>
    <t>RANQUIL</t>
  </si>
  <si>
    <t>TREHUACO</t>
  </si>
  <si>
    <t>COBERTURA EFECTIVA HIPERTENSIÓN ARTERIAL</t>
  </si>
  <si>
    <t>Meta HTA 2023</t>
  </si>
  <si>
    <t>BRECHA</t>
  </si>
  <si>
    <t>Cálculo brecha</t>
  </si>
  <si>
    <t>META FINAL 2023</t>
  </si>
  <si>
    <t xml:space="preserve">P. Compensada HTA </t>
  </si>
  <si>
    <t>P.estimada según prevalencia</t>
  </si>
  <si>
    <t>Logro 2022</t>
  </si>
  <si>
    <t>Total brecha</t>
  </si>
  <si>
    <t>Brecha Personas Compensadas</t>
  </si>
  <si>
    <t>P. Compensada HTA (meta)</t>
  </si>
  <si>
    <t>P.estimada  según prevalencia</t>
  </si>
  <si>
    <t>TOTAL GENERAL</t>
  </si>
  <si>
    <t>PROVINCIA DE DIGUILLIN</t>
  </si>
  <si>
    <t>PROVINCIA DE ITATA</t>
  </si>
  <si>
    <t>PROVINCIA DE PUNILLA</t>
  </si>
  <si>
    <t>Meta 6  ≥  60% de LME</t>
  </si>
  <si>
    <t>Logro</t>
  </si>
  <si>
    <t xml:space="preserve"> Propuesta meta 2023</t>
  </si>
  <si>
    <t>ok</t>
  </si>
  <si>
    <t xml:space="preserve">TOTAL DIGUILLIN </t>
  </si>
  <si>
    <t>TOTAL ITATA</t>
  </si>
  <si>
    <t>TOTAL PUNILLA</t>
  </si>
  <si>
    <t>Nº de niños/as que al control de salud del sexto mes recibieron LME en el periodo de enero-diciembre 2023</t>
  </si>
  <si>
    <t>Nº de niño/as con control de salud del sexto mes realizado en el periodo de enero a diciembre de 2023</t>
  </si>
  <si>
    <t>NO</t>
  </si>
  <si>
    <t>Corte al 31 de diciembre de 2022</t>
  </si>
  <si>
    <t xml:space="preserve">Meta 1: </t>
  </si>
  <si>
    <t xml:space="preserve">Meta 2: </t>
  </si>
  <si>
    <t>Porcentaje de mujeres de 25 a 64 años con PAP vigente en los últimos 3 años.</t>
  </si>
  <si>
    <t xml:space="preserve">Meta 3A: </t>
  </si>
  <si>
    <t>Control con Enfoque de Riesgo odontológico en población de 0 a 9 años.</t>
  </si>
  <si>
    <t xml:space="preserve">Meta 3B: </t>
  </si>
  <si>
    <t>Niños y niñas de 6 años libres de caries</t>
  </si>
  <si>
    <t>Valor Proporc.Odontológica</t>
  </si>
  <si>
    <t xml:space="preserve">Meta 4A: </t>
  </si>
  <si>
    <t>Cobertura efectiva de tratamiento de DM2 en personas de 15 y más años.</t>
  </si>
  <si>
    <t xml:space="preserve">Meta 4B: </t>
  </si>
  <si>
    <t>Evaluación anual del pie diabético, en personas con DM2 bajo control de 15 y más años</t>
  </si>
  <si>
    <t xml:space="preserve">Meta 5: </t>
  </si>
  <si>
    <t>Cobertura efectiva de Hipertensión Arterial (HTA) en personas de 15 años y más.</t>
  </si>
  <si>
    <t xml:space="preserve">Meta 6: </t>
  </si>
  <si>
    <t>Cobertura efectiva de tratamiento en enfermedades respiratorias crónicas (asma y EPOC) en personas de 5 AÑOS y más.</t>
  </si>
  <si>
    <t>CONSOLIDADO POR COMUNAS</t>
  </si>
  <si>
    <t>Meta Nacional ≥ 90%
(O disminuir brecha)</t>
  </si>
  <si>
    <r>
      <rPr>
        <u/>
        <sz val="7.5"/>
        <color theme="0"/>
        <rFont val="Calibri"/>
        <family val="2"/>
        <scheme val="minor"/>
      </rPr>
      <t>Numerador</t>
    </r>
    <r>
      <rPr>
        <sz val="7.5"/>
        <color theme="0"/>
        <rFont val="Calibri"/>
        <family val="2"/>
        <scheme val="minor"/>
      </rPr>
      <t>: N° de niños y niñas de 12 a 23 meses diagnosticados con riesgo del DSM recuperados en el periodo enero a diciembre 2022</t>
    </r>
  </si>
  <si>
    <r>
      <rPr>
        <u/>
        <sz val="8"/>
        <color theme="0"/>
        <rFont val="Calibri"/>
        <family val="2"/>
        <scheme val="minor"/>
      </rPr>
      <t>Denominador</t>
    </r>
    <r>
      <rPr>
        <sz val="8"/>
        <color theme="0"/>
        <rFont val="Calibri"/>
        <family val="2"/>
        <scheme val="minor"/>
      </rPr>
      <t xml:space="preserve">: N° de niños y niñas de 12 a 23 meses diagnosticados en control de salud de los 18 meses con riesgo del Desarrollo Psicomotor en su primera evaluación el periodo </t>
    </r>
    <r>
      <rPr>
        <b/>
        <u/>
        <sz val="8"/>
        <color theme="0"/>
        <rFont val="Calibri"/>
        <family val="2"/>
        <scheme val="minor"/>
      </rPr>
      <t>octubre 2021 - septiembre 2022.</t>
    </r>
  </si>
  <si>
    <t>Valor Proporc.</t>
  </si>
  <si>
    <r>
      <t xml:space="preserve">Meta Nacional ≥ 80% de cobertura
(Meta local </t>
    </r>
    <r>
      <rPr>
        <sz val="10"/>
        <color theme="0"/>
        <rFont val="Calibri"/>
        <family val="2"/>
      </rPr>
      <t>≥ 90% de exigencia)</t>
    </r>
  </si>
  <si>
    <r>
      <rPr>
        <u/>
        <sz val="7.5"/>
        <color theme="0"/>
        <rFont val="Calibri"/>
        <family val="2"/>
        <scheme val="minor"/>
      </rPr>
      <t>Numerador</t>
    </r>
    <r>
      <rPr>
        <sz val="7.5"/>
        <color theme="0"/>
        <rFont val="Calibri"/>
        <family val="2"/>
        <scheme val="minor"/>
      </rPr>
      <t>: Nº de mujeres de 25 a 64 años inscritas validadas por FONASA, con PAP vigente a diciembre 2022</t>
    </r>
  </si>
  <si>
    <r>
      <rPr>
        <u/>
        <sz val="7.5"/>
        <color theme="0"/>
        <rFont val="Calibri"/>
        <family val="2"/>
        <scheme val="minor"/>
      </rPr>
      <t>Denominador</t>
    </r>
    <r>
      <rPr>
        <sz val="7.5"/>
        <color theme="0"/>
        <rFont val="Calibri"/>
        <family val="2"/>
        <scheme val="minor"/>
      </rPr>
      <t>: Nº minimo esperado de mujeres con PAP vigente a diciembre 2022</t>
    </r>
  </si>
  <si>
    <t>Meta Nacional ≥ 35%
(O disminuir brecha)</t>
  </si>
  <si>
    <r>
      <rPr>
        <u/>
        <sz val="7.5"/>
        <color theme="0"/>
        <rFont val="Calibri"/>
        <family val="2"/>
        <scheme val="minor"/>
      </rPr>
      <t>Numerador</t>
    </r>
    <r>
      <rPr>
        <sz val="7.5"/>
        <color theme="0"/>
        <rFont val="Calibri"/>
        <family val="2"/>
        <scheme val="minor"/>
      </rPr>
      <t>: Nº de niños(as)de 0 a 9 años con control con enfoque de riesgo odontológico,en el periodo enero a diciembre 2022</t>
    </r>
  </si>
  <si>
    <r>
      <rPr>
        <u/>
        <sz val="7.5"/>
        <color theme="0"/>
        <rFont val="Calibri"/>
        <family val="2"/>
        <scheme val="minor"/>
      </rPr>
      <t>Denominador</t>
    </r>
    <r>
      <rPr>
        <sz val="7.5"/>
        <color theme="0"/>
        <rFont val="Calibri"/>
        <family val="2"/>
        <scheme val="minor"/>
      </rPr>
      <t>: Nº total de niños(as) de 0 a 9 años inscritos validados año 2022</t>
    </r>
  </si>
  <si>
    <t>Valor Proporc. 3A</t>
  </si>
  <si>
    <t>Meta Nacional ≥ 11%</t>
  </si>
  <si>
    <r>
      <rPr>
        <u/>
        <sz val="7.5"/>
        <color theme="0"/>
        <rFont val="Calibri"/>
        <family val="2"/>
        <scheme val="minor"/>
      </rPr>
      <t>Numerador</t>
    </r>
    <r>
      <rPr>
        <sz val="7.5"/>
        <color theme="0"/>
        <rFont val="Calibri"/>
        <family val="2"/>
        <scheme val="minor"/>
      </rPr>
      <t>: Nº de niños(as)de 6 años con ceod igual a 0 en el periodo enero a diciembre 2022</t>
    </r>
  </si>
  <si>
    <r>
      <rPr>
        <u/>
        <sz val="7.5"/>
        <color theme="0"/>
        <rFont val="Calibri"/>
        <family val="2"/>
        <scheme val="minor"/>
      </rPr>
      <t>Denominador</t>
    </r>
    <r>
      <rPr>
        <sz val="7.5"/>
        <color theme="0"/>
        <rFont val="Calibri"/>
        <family val="2"/>
        <scheme val="minor"/>
      </rPr>
      <t>: Nº total de niños(as) de 6 años  inscritos validados para el año 2022.</t>
    </r>
  </si>
  <si>
    <t>Valor Proporc. 3B</t>
  </si>
  <si>
    <t>Meta Nacional ≥ 28%
(O disminuir brecha)</t>
  </si>
  <si>
    <r>
      <rPr>
        <u/>
        <sz val="7.5"/>
        <color theme="0"/>
        <rFont val="Calibri"/>
        <family val="2"/>
        <scheme val="minor"/>
      </rPr>
      <t>Numerador</t>
    </r>
    <r>
      <rPr>
        <sz val="7.5"/>
        <color theme="0"/>
        <rFont val="Calibri"/>
        <family val="2"/>
        <scheme val="minor"/>
      </rPr>
      <t>: Nº personas con DM2 de 15 a 79 años con Hb A1c &lt;7% más N° personas con DM2 de 80 y más años con Hb A1c &lt;8% según último control vigente, en los últimos 12 meses.</t>
    </r>
  </si>
  <si>
    <r>
      <rPr>
        <u/>
        <sz val="7.5"/>
        <color theme="0"/>
        <rFont val="Calibri"/>
        <family val="2"/>
        <scheme val="minor"/>
      </rPr>
      <t>Denominador</t>
    </r>
    <r>
      <rPr>
        <sz val="7.5"/>
        <color theme="0"/>
        <rFont val="Calibri"/>
        <family val="2"/>
        <scheme val="minor"/>
      </rPr>
      <t>: N° Total de personas de 15 años y más con DM2 estimadas según prevalencia</t>
    </r>
  </si>
  <si>
    <t xml:space="preserve">Valor Proporc. </t>
  </si>
  <si>
    <r>
      <rPr>
        <u/>
        <sz val="7.5"/>
        <color theme="0"/>
        <rFont val="Calibri"/>
        <family val="2"/>
        <scheme val="minor"/>
      </rPr>
      <t>Numerador</t>
    </r>
    <r>
      <rPr>
        <sz val="7.5"/>
        <color theme="0"/>
        <rFont val="Calibri"/>
        <family val="2"/>
        <scheme val="minor"/>
      </rPr>
      <t>: N° de personas de 15 años y más con DM2 bajo control, con evaluación de pie vigente, en los últimos 12 meses.</t>
    </r>
  </si>
  <si>
    <r>
      <rPr>
        <u/>
        <sz val="7.5"/>
        <color theme="0"/>
        <rFont val="Calibri"/>
        <family val="2"/>
        <scheme val="minor"/>
      </rPr>
      <t>Denominador</t>
    </r>
    <r>
      <rPr>
        <sz val="7.5"/>
        <color theme="0"/>
        <rFont val="Calibri"/>
        <family val="2"/>
        <scheme val="minor"/>
      </rPr>
      <t>: N° de personas de 15 años y más con DM2 bajo control en los últimos 12 meses.</t>
    </r>
  </si>
  <si>
    <t>Meta Nacional ≥ 43%
(O disminuir brecha)</t>
  </si>
  <si>
    <r>
      <rPr>
        <u/>
        <sz val="7.5"/>
        <color theme="0"/>
        <rFont val="Calibri"/>
        <family val="2"/>
        <scheme val="minor"/>
      </rPr>
      <t>Numerador</t>
    </r>
    <r>
      <rPr>
        <sz val="7.5"/>
        <color theme="0"/>
        <rFont val="Calibri"/>
        <family val="2"/>
        <scheme val="minor"/>
      </rPr>
      <t>: Nº personas hipertensas de 15 a 79 años con PA&lt;140/90 mmHg más Nº personas hipertensas de 80 y más años con PA&lt;150/90 mmHg, según último control vigente</t>
    </r>
  </si>
  <si>
    <r>
      <rPr>
        <u/>
        <sz val="7.5"/>
        <color theme="0"/>
        <rFont val="Calibri"/>
        <family val="2"/>
        <scheme val="minor"/>
      </rPr>
      <t>Denominador</t>
    </r>
    <r>
      <rPr>
        <sz val="7.5"/>
        <color theme="0"/>
        <rFont val="Calibri"/>
        <family val="2"/>
        <scheme val="minor"/>
      </rPr>
      <t>: Total de personas hipertensas de 15 y más años estimadas según prevalencia**</t>
    </r>
  </si>
  <si>
    <t>Meta Nacional ≥ 60%</t>
  </si>
  <si>
    <r>
      <rPr>
        <u/>
        <sz val="7.5"/>
        <color theme="0"/>
        <rFont val="Calibri"/>
        <family val="2"/>
        <scheme val="minor"/>
      </rPr>
      <t>Numerador</t>
    </r>
    <r>
      <rPr>
        <sz val="7.5"/>
        <color theme="0"/>
        <rFont val="Calibri"/>
        <family val="2"/>
        <scheme val="minor"/>
      </rPr>
      <t>: Nº de niños/as controlados en el periodo de enero a diciembre de 2022 que al control de salud del sexto mes recibieron LME</t>
    </r>
  </si>
  <si>
    <r>
      <rPr>
        <u/>
        <sz val="7.5"/>
        <color theme="0"/>
        <rFont val="Calibri"/>
        <family val="2"/>
        <scheme val="minor"/>
      </rPr>
      <t>Denominador</t>
    </r>
    <r>
      <rPr>
        <sz val="7.5"/>
        <color theme="0"/>
        <rFont val="Calibri"/>
        <family val="2"/>
        <scheme val="minor"/>
      </rPr>
      <t>: Nº de niño/as con control de salud del sexto mes realizado en el periodo de enero a diciembre de 2022</t>
    </r>
  </si>
  <si>
    <t>≥ 80%</t>
  </si>
  <si>
    <r>
      <rPr>
        <u/>
        <sz val="7.5"/>
        <color theme="0"/>
        <rFont val="Calibri"/>
        <family val="2"/>
        <scheme val="minor"/>
      </rPr>
      <t>Numerador</t>
    </r>
    <r>
      <rPr>
        <sz val="7.5"/>
        <color theme="0"/>
        <rFont val="Calibri"/>
        <family val="2"/>
        <scheme val="minor"/>
      </rPr>
      <t>: N° de Actividades Ejecutadas</t>
    </r>
  </si>
  <si>
    <r>
      <rPr>
        <u/>
        <sz val="7.5"/>
        <color theme="0"/>
        <rFont val="Calibri"/>
        <family val="2"/>
        <scheme val="minor"/>
      </rPr>
      <t>Denominador</t>
    </r>
    <r>
      <rPr>
        <sz val="7.5"/>
        <color theme="0"/>
        <rFont val="Calibri"/>
        <family val="2"/>
        <scheme val="minor"/>
      </rPr>
      <t>: N° de Actividades Comprometidas</t>
    </r>
  </si>
  <si>
    <t>N° TOTAL DE 
METAS NO COMPROMETIDAS</t>
  </si>
  <si>
    <t>SUMA % CUMPLIMIMIENTO DE METAS</t>
  </si>
  <si>
    <t>Tramo</t>
  </si>
  <si>
    <t>Meta</t>
  </si>
  <si>
    <t>Meta N°1</t>
  </si>
  <si>
    <t>Meta N°2</t>
  </si>
  <si>
    <t>Meta N°3 A</t>
  </si>
  <si>
    <t>Meta N°3 B</t>
  </si>
  <si>
    <t>Meta N°4 A</t>
  </si>
  <si>
    <t>Meta N°4 B</t>
  </si>
  <si>
    <t>Meta N°5</t>
  </si>
  <si>
    <t>Meta N°6</t>
  </si>
  <si>
    <t>Meta N°7</t>
  </si>
  <si>
    <t>Chillán</t>
  </si>
  <si>
    <t>Chillán Viejo</t>
  </si>
  <si>
    <t>NO APLICA</t>
  </si>
  <si>
    <t>Coihueco</t>
  </si>
  <si>
    <t>San Carlos</t>
  </si>
  <si>
    <t>Total general</t>
  </si>
  <si>
    <t>Total</t>
  </si>
  <si>
    <t>Meta 1 ≥ 90%</t>
  </si>
  <si>
    <t>Meta 2: 90%</t>
  </si>
  <si>
    <t>Meta 3A  ≥  35%</t>
  </si>
  <si>
    <t>Meta 3B  ≥  11%</t>
  </si>
  <si>
    <r>
      <t xml:space="preserve">Meta 4B </t>
    </r>
    <r>
      <rPr>
        <b/>
        <sz val="10"/>
        <color theme="1"/>
        <rFont val="Calibri"/>
        <family val="2"/>
      </rPr>
      <t>≥</t>
    </r>
    <r>
      <rPr>
        <b/>
        <sz val="10"/>
        <color theme="1"/>
        <rFont val="Calibri"/>
        <family val="2"/>
        <scheme val="minor"/>
      </rPr>
      <t xml:space="preserve"> 90%</t>
    </r>
  </si>
  <si>
    <t>Meta 5  ≥ 43%</t>
  </si>
  <si>
    <r>
      <t xml:space="preserve">Meta 7: </t>
    </r>
    <r>
      <rPr>
        <b/>
        <sz val="10"/>
        <color theme="1"/>
        <rFont val="Calibri"/>
        <family val="2"/>
      </rPr>
      <t xml:space="preserve">≥ </t>
    </r>
    <r>
      <rPr>
        <b/>
        <sz val="10"/>
        <color theme="1"/>
        <rFont val="Calibri"/>
        <family val="2"/>
        <scheme val="minor"/>
      </rPr>
      <t>80% de cumplimiento del Plan</t>
    </r>
  </si>
  <si>
    <r>
      <t>META</t>
    </r>
    <r>
      <rPr>
        <sz val="8"/>
        <color theme="0"/>
        <rFont val="Calibri"/>
        <family val="2"/>
      </rPr>
      <t/>
    </r>
  </si>
  <si>
    <t>COBERTURA EFECTIVA DIABETES MELLITUS</t>
  </si>
  <si>
    <t>Meta DM2 2023</t>
  </si>
  <si>
    <t xml:space="preserve">Cálculo brecha </t>
  </si>
  <si>
    <t>Meta  2022</t>
  </si>
  <si>
    <t xml:space="preserve">P. Compensada
 DM2 </t>
  </si>
  <si>
    <t>P. Compensada DM2 (meta)</t>
  </si>
  <si>
    <r>
      <rPr>
        <b/>
        <u/>
        <sz val="9"/>
        <color theme="0"/>
        <rFont val="Calibri"/>
        <family val="2"/>
        <scheme val="minor"/>
      </rPr>
      <t>Numerador</t>
    </r>
    <r>
      <rPr>
        <b/>
        <sz val="9"/>
        <color theme="0"/>
        <rFont val="Calibri"/>
        <family val="2"/>
        <scheme val="minor"/>
      </rPr>
      <t xml:space="preserve">: N° de personas de 15 años y más con DM2 bajo control, con evaluación de </t>
    </r>
    <r>
      <rPr>
        <b/>
        <u/>
        <sz val="12"/>
        <color theme="0"/>
        <rFont val="Calibri"/>
        <family val="2"/>
        <scheme val="minor"/>
      </rPr>
      <t>pie vigente</t>
    </r>
    <r>
      <rPr>
        <b/>
        <sz val="9"/>
        <color theme="0"/>
        <rFont val="Calibri"/>
        <family val="2"/>
        <scheme val="minor"/>
      </rPr>
      <t xml:space="preserve"> en diciembre 2022</t>
    </r>
  </si>
  <si>
    <r>
      <rPr>
        <b/>
        <u/>
        <sz val="9"/>
        <color theme="0"/>
        <rFont val="Calibri"/>
        <family val="2"/>
        <scheme val="minor"/>
      </rPr>
      <t>Denominador</t>
    </r>
    <r>
      <rPr>
        <b/>
        <sz val="9"/>
        <color theme="0"/>
        <rFont val="Calibri"/>
        <family val="2"/>
        <scheme val="minor"/>
      </rPr>
      <t>: N° de personas de 15 años y más con DM2 bajo control en  diciembre 2022</t>
    </r>
  </si>
  <si>
    <t>Total Brecha 2022</t>
  </si>
  <si>
    <t>Brecha 50%</t>
  </si>
  <si>
    <r>
      <rPr>
        <b/>
        <u/>
        <sz val="9"/>
        <color theme="0"/>
        <rFont val="Calibri"/>
        <family val="2"/>
        <scheme val="minor"/>
      </rPr>
      <t>Numerador:</t>
    </r>
    <r>
      <rPr>
        <b/>
        <sz val="9"/>
        <color theme="0"/>
        <rFont val="Calibri"/>
        <family val="2"/>
        <scheme val="minor"/>
      </rPr>
      <t xml:space="preserve"> N° de personas de 15 años y más con DM2 bajo control que deben contar con evaluación vigente durante el año 2023</t>
    </r>
  </si>
  <si>
    <r>
      <rPr>
        <b/>
        <u/>
        <sz val="9"/>
        <color theme="0"/>
        <rFont val="Calibri"/>
        <family val="2"/>
        <scheme val="minor"/>
      </rPr>
      <t>Denominador</t>
    </r>
    <r>
      <rPr>
        <b/>
        <sz val="9"/>
        <color theme="0"/>
        <rFont val="Calibri"/>
        <family val="2"/>
        <scheme val="minor"/>
      </rPr>
      <t>: N° de personas de 15 años y más con DM2 bajo control en los diciembre 2022</t>
    </r>
  </si>
  <si>
    <t>numerador</t>
  </si>
  <si>
    <t>denominador</t>
  </si>
  <si>
    <t xml:space="preserve">META </t>
  </si>
  <si>
    <r>
      <rPr>
        <u/>
        <sz val="11"/>
        <color theme="0"/>
        <rFont val="Calibri"/>
        <family val="2"/>
        <scheme val="minor"/>
      </rPr>
      <t>Numerador</t>
    </r>
    <r>
      <rPr>
        <sz val="11"/>
        <color theme="0"/>
        <rFont val="Calibri"/>
        <family val="2"/>
        <scheme val="minor"/>
      </rPr>
      <t>: N° usuarios que logra nivel de control adecuado</t>
    </r>
  </si>
  <si>
    <r>
      <rPr>
        <u/>
        <sz val="11"/>
        <color theme="0"/>
        <rFont val="Calibri"/>
        <family val="2"/>
        <scheme val="minor"/>
      </rPr>
      <t>Denominador</t>
    </r>
    <r>
      <rPr>
        <sz val="11"/>
        <color theme="0"/>
        <rFont val="Calibri"/>
        <family val="2"/>
        <scheme val="minor"/>
      </rPr>
      <t>: N°de usuarios según prevalencia en base a población inscrita validada FONASA</t>
    </r>
  </si>
  <si>
    <r>
      <rPr>
        <u/>
        <sz val="11"/>
        <color theme="0"/>
        <rFont val="Calibri"/>
        <family val="2"/>
        <scheme val="minor"/>
      </rPr>
      <t>Numerador</t>
    </r>
    <r>
      <rPr>
        <sz val="11"/>
        <color theme="0"/>
        <rFont val="Calibri"/>
        <family val="2"/>
        <scheme val="minor"/>
      </rPr>
      <t>: N° de Actividades Ejecutadas</t>
    </r>
  </si>
  <si>
    <r>
      <rPr>
        <u/>
        <sz val="11"/>
        <color theme="0"/>
        <rFont val="Calibri"/>
        <family val="2"/>
        <scheme val="minor"/>
      </rPr>
      <t>Denominador</t>
    </r>
    <r>
      <rPr>
        <sz val="11"/>
        <color theme="0"/>
        <rFont val="Calibri"/>
        <family val="2"/>
        <scheme val="minor"/>
      </rPr>
      <t>: N° de Actividades Comprometidas</t>
    </r>
  </si>
  <si>
    <r>
      <t xml:space="preserve">Meta 7: </t>
    </r>
    <r>
      <rPr>
        <b/>
        <sz val="11"/>
        <color theme="1"/>
        <rFont val="Calibri"/>
        <family val="2"/>
      </rPr>
      <t xml:space="preserve">≥ </t>
    </r>
    <r>
      <rPr>
        <b/>
        <sz val="11"/>
        <color theme="1"/>
        <rFont val="Calibri"/>
        <family val="2"/>
        <scheme val="minor"/>
      </rPr>
      <t>80% de cumplimiento del Plan</t>
    </r>
  </si>
  <si>
    <t>NOTAS:</t>
  </si>
  <si>
    <t>Meta I: Se suscribe meta de 90% para todos los establecimientos.</t>
  </si>
  <si>
    <t>Meta II: Se suscribe meta de 90% para todos los establecimientos.</t>
  </si>
  <si>
    <t>Meta IIIA: Se suscribe meta de 35% para todos los establecimientos.</t>
  </si>
  <si>
    <t>Meta IIIB: Se suscribe meta de 15% para los establecimientos que alcanzaron la meta del 2022, en caso contrario se suscribe meta aumentando el 50% de la brecha.</t>
  </si>
  <si>
    <t>Meta real  Aplicado 90%</t>
  </si>
  <si>
    <t>Meta IVA: Se suscribe meta de 35% para los establecimientos que alcanzaron la meta del 2022, en caso contrario se suscribe meta aumentando el 50% de la brecha.</t>
  </si>
  <si>
    <t>Meta IVB: Se suscribe meta de 90% para los establecimientos que alcanzaron la meta del 2022, en caso contrario se suscribe meta del año anterior.</t>
  </si>
  <si>
    <t>Meta V: Se suscribe meta de 50% para los establecimientos que superaron este porcentaje el 2022, en caso contrario se suscribe meta del año anterior.</t>
  </si>
  <si>
    <t>Meta VII: Se debe establecer línea base para el año 2023.</t>
  </si>
  <si>
    <t>Meta VI: Se suscribe meta de 70% para los establecimientos que superaron este porcentaje el 2022, para los que presentan cumplimiento bajo el 70% y sobre el 60% se mantendra el cumplimiento del 2022, para los que esten bajo el 60% se realiza cálculo de brecha del 15% (en los casos que la brecha es inferior a 1 punto porcentual, se aproximo a 1 punto).</t>
  </si>
  <si>
    <t>* Se modifico la población estimada (invertida)</t>
  </si>
  <si>
    <t> DIGUILLÍN</t>
  </si>
  <si>
    <t>≥  28%</t>
  </si>
  <si>
    <t>A</t>
  </si>
  <si>
    <t>C</t>
  </si>
  <si>
    <t>F</t>
  </si>
  <si>
    <t>B</t>
  </si>
  <si>
    <t>E</t>
  </si>
  <si>
    <t>G</t>
  </si>
  <si>
    <t>H</t>
  </si>
  <si>
    <t>I</t>
  </si>
  <si>
    <t>J</t>
  </si>
  <si>
    <t>≥ 15</t>
  </si>
  <si>
    <t>Meta I</t>
  </si>
  <si>
    <t>Meta II</t>
  </si>
  <si>
    <t>Meta IIIA</t>
  </si>
  <si>
    <t>Meta IIIB</t>
  </si>
  <si>
    <t xml:space="preserve">Meta IVA  </t>
  </si>
  <si>
    <t>Meta IVB</t>
  </si>
  <si>
    <t>Meta V</t>
  </si>
  <si>
    <t>Meta VI</t>
  </si>
  <si>
    <t>Meta VII</t>
  </si>
  <si>
    <t>Meta VIII</t>
  </si>
  <si>
    <r>
      <t xml:space="preserve">Meta I: </t>
    </r>
    <r>
      <rPr>
        <sz val="11"/>
        <color theme="0"/>
        <rFont val="Calibri"/>
        <family val="2"/>
      </rPr>
      <t>≥ 90%</t>
    </r>
  </si>
  <si>
    <t>Meta II: ≥ 80%</t>
  </si>
  <si>
    <t>Meta IIIA: ≥ 35%</t>
  </si>
  <si>
    <t>Meta IIIB: ≥ 15%</t>
  </si>
  <si>
    <t>Meta VI  ≥  60% de LME</t>
  </si>
  <si>
    <t xml:space="preserve">Meta VII: </t>
  </si>
  <si>
    <t xml:space="preserve">Meta VIII: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</si>
</sst>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 * #,##0_ ;_ * \-#,##0_ ;_ * &quot;-&quot;_ ;_ @_ "/>
    <numFmt numFmtId="43" formatCode="_ * #,##0.00_ ;_ * \-#,##0.00_ ;_ * &quot;-&quot;??_ ;_ @_ "/>
    <numFmt numFmtId="164" formatCode="0.0%"/>
    <numFmt numFmtId="165" formatCode="#,##0;[Red]#,##0"/>
    <numFmt numFmtId="166" formatCode="0.0"/>
    <numFmt numFmtId="167" formatCode="0;[Red]0"/>
    <numFmt numFmtId="168" formatCode="_-* #,##0.00_-;\-* #,##0.00_-;_-* &quot;-&quot;??_-;_-@_-"/>
    <numFmt numFmtId="169" formatCode="_-* #,##0_-;\-* #,##0_-;_-* &quot;-&quot;??_-;_-@_-"/>
    <numFmt numFmtId="170" formatCode="#,##0.0"/>
  </numFmts>
  <fonts count="8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10"/>
      <color theme="0"/>
      <name val="Calibri"/>
      <family val="2"/>
    </font>
    <font>
      <sz val="11"/>
      <color theme="0"/>
      <name val="Calibri"/>
      <family val="2"/>
      <scheme val="minor"/>
    </font>
    <font>
      <sz val="11"/>
      <color theme="0"/>
      <name val="Calibri"/>
      <family val="2"/>
    </font>
    <font>
      <sz val="18"/>
      <name val="Arial"/>
      <family val="2"/>
    </font>
    <font>
      <b/>
      <sz val="10"/>
      <color rgb="FFFFFFFF"/>
      <name val="Calibri"/>
      <family val="2"/>
    </font>
    <font>
      <sz val="9.5"/>
      <color rgb="FF000000"/>
      <name val="Calibri"/>
      <family val="2"/>
    </font>
    <font>
      <b/>
      <sz val="9.5"/>
      <color rgb="FF000000"/>
      <name val="Calibri"/>
      <family val="2"/>
    </font>
    <font>
      <b/>
      <sz val="9.5"/>
      <color rgb="FFA6A6A6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color theme="1"/>
      <name val="Calibri Light"/>
      <family val="2"/>
      <scheme val="major"/>
    </font>
    <font>
      <b/>
      <sz val="11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color indexed="81"/>
      <name val="Tahoma"/>
      <family val="2"/>
    </font>
    <font>
      <sz val="6"/>
      <color theme="0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7.5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7.5"/>
      <color theme="0"/>
      <name val="Calibri"/>
      <family val="2"/>
      <scheme val="minor"/>
    </font>
    <font>
      <u/>
      <sz val="8"/>
      <color theme="0"/>
      <name val="Calibri"/>
      <family val="2"/>
      <scheme val="minor"/>
    </font>
    <font>
      <b/>
      <u/>
      <sz val="8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9"/>
      <name val="Calibri"/>
      <family val="2"/>
      <scheme val="minor"/>
    </font>
    <font>
      <sz val="10"/>
      <color theme="4" tint="-0.249977111117893"/>
      <name val="Calibri"/>
      <family val="2"/>
      <scheme val="minor"/>
    </font>
    <font>
      <b/>
      <sz val="7.7"/>
      <color theme="1"/>
      <name val="Calibri"/>
      <family val="2"/>
      <scheme val="minor"/>
    </font>
    <font>
      <b/>
      <i/>
      <u/>
      <sz val="7"/>
      <color theme="1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10"/>
      <color theme="1"/>
      <name val="Calibri"/>
      <family val="2"/>
    </font>
    <font>
      <sz val="8"/>
      <color theme="0"/>
      <name val="Calibri"/>
      <family val="2"/>
    </font>
    <font>
      <b/>
      <u/>
      <sz val="9"/>
      <color theme="0"/>
      <name val="Calibri"/>
      <family val="2"/>
      <scheme val="minor"/>
    </font>
    <font>
      <b/>
      <u/>
      <sz val="12"/>
      <color theme="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u/>
      <sz val="11"/>
      <color theme="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8"/>
      <color theme="1"/>
      <name val="Calibri"/>
      <family val="2"/>
    </font>
    <font>
      <sz val="9.5"/>
      <name val="Arial"/>
      <family val="2"/>
    </font>
    <font>
      <b/>
      <i/>
      <sz val="10"/>
      <color theme="0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0"/>
      <color rgb="FF00B050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9" tint="-0.249977111117893"/>
      <name val="Calibri"/>
      <family val="2"/>
      <scheme val="minor"/>
    </font>
    <font>
      <b/>
      <sz val="10"/>
      <color theme="9"/>
      <name val="Calibri"/>
      <family val="2"/>
      <scheme val="minor"/>
    </font>
    <font>
      <b/>
      <sz val="10"/>
      <color theme="0"/>
      <name val="Calibri Light"/>
      <family val="2"/>
      <scheme val="major"/>
    </font>
    <font>
      <sz val="10"/>
      <color theme="3"/>
      <name val="Calibri"/>
      <family val="2"/>
      <scheme val="minor"/>
    </font>
    <font>
      <b/>
      <sz val="10"/>
      <name val="Arial"/>
      <family val="2"/>
    </font>
    <font>
      <b/>
      <sz val="10"/>
      <color theme="4" tint="-0.499984740745262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0000FF"/>
      <name val="Calibri"/>
      <family val="2"/>
      <scheme val="minor"/>
    </font>
    <font>
      <sz val="7"/>
      <color theme="2" tint="-0.249977111117893"/>
      <name val="Calibri"/>
      <family val="2"/>
      <scheme val="minor"/>
    </font>
    <font>
      <sz val="6"/>
      <color theme="2" tint="-0.249977111117893"/>
      <name val="Calibri"/>
      <family val="2"/>
      <scheme val="minor"/>
    </font>
    <font>
      <b/>
      <sz val="10"/>
      <color theme="0" tint="-0.34998626667073579"/>
      <name val="Calibri"/>
      <family val="2"/>
      <scheme val="minor"/>
    </font>
    <font>
      <sz val="7"/>
      <color theme="0" tint="-0.34998626667073579"/>
      <name val="Calibri"/>
      <family val="2"/>
      <scheme val="minor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96771"/>
        <bgColor indexed="64"/>
      </patternFill>
    </fill>
    <fill>
      <patternFill patternType="solid">
        <fgColor rgb="FFD1D1D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EFF6FB"/>
        <bgColor indexed="64"/>
      </patternFill>
    </fill>
    <fill>
      <patternFill patternType="solid">
        <fgColor rgb="FFEDF7E1"/>
        <bgColor indexed="64"/>
      </patternFill>
    </fill>
    <fill>
      <patternFill patternType="solid">
        <fgColor rgb="FFFCEBE0"/>
        <bgColor indexed="64"/>
      </patternFill>
    </fill>
    <fill>
      <patternFill patternType="solid">
        <fgColor rgb="FFFFFAEB"/>
        <bgColor indexed="64"/>
      </patternFill>
    </fill>
  </fills>
  <borders count="5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3F3F3F"/>
      </left>
      <right/>
      <top style="double">
        <color rgb="FF3F3F3F"/>
      </top>
      <bottom/>
      <diagonal/>
    </border>
    <border>
      <left/>
      <right/>
      <top style="double">
        <color rgb="FF3F3F3F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4" fillId="18" borderId="17" applyNumberFormat="0" applyAlignment="0" applyProtection="0"/>
    <xf numFmtId="168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847">
    <xf numFmtId="0" fontId="0" fillId="0" borderId="0" xfId="0"/>
    <xf numFmtId="0" fontId="2" fillId="7" borderId="3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 wrapText="1"/>
    </xf>
    <xf numFmtId="10" fontId="0" fillId="0" borderId="0" xfId="1" applyNumberFormat="1" applyFont="1"/>
    <xf numFmtId="10" fontId="2" fillId="7" borderId="3" xfId="1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3" xfId="0" applyBorder="1"/>
    <xf numFmtId="1" fontId="0" fillId="0" borderId="0" xfId="0" applyNumberFormat="1" applyAlignment="1">
      <alignment horizontal="center"/>
    </xf>
    <xf numFmtId="0" fontId="3" fillId="3" borderId="3" xfId="0" applyFont="1" applyFill="1" applyBorder="1"/>
    <xf numFmtId="0" fontId="3" fillId="3" borderId="3" xfId="0" applyFont="1" applyFill="1" applyBorder="1" applyAlignment="1">
      <alignment horizontal="center"/>
    </xf>
    <xf numFmtId="164" fontId="3" fillId="3" borderId="3" xfId="1" applyNumberFormat="1" applyFont="1" applyFill="1" applyBorder="1" applyAlignment="1">
      <alignment horizontal="center"/>
    </xf>
    <xf numFmtId="0" fontId="3" fillId="3" borderId="3" xfId="1" applyNumberFormat="1" applyFont="1" applyFill="1" applyBorder="1" applyAlignment="1">
      <alignment horizontal="center"/>
    </xf>
    <xf numFmtId="9" fontId="3" fillId="8" borderId="3" xfId="1" applyFont="1" applyFill="1" applyBorder="1" applyAlignment="1">
      <alignment horizontal="center" vertical="center"/>
    </xf>
    <xf numFmtId="164" fontId="3" fillId="8" borderId="3" xfId="1" applyNumberFormat="1" applyFont="1" applyFill="1" applyBorder="1" applyAlignment="1">
      <alignment horizontal="center" vertical="center"/>
    </xf>
    <xf numFmtId="164" fontId="3" fillId="10" borderId="3" xfId="1" applyNumberFormat="1" applyFont="1" applyFill="1" applyBorder="1" applyAlignment="1">
      <alignment horizontal="center" vertical="center"/>
    </xf>
    <xf numFmtId="1" fontId="3" fillId="10" borderId="3" xfId="1" applyNumberFormat="1" applyFont="1" applyFill="1" applyBorder="1" applyAlignment="1">
      <alignment horizontal="center" vertical="center"/>
    </xf>
    <xf numFmtId="0" fontId="3" fillId="0" borderId="0" xfId="0" applyFont="1"/>
    <xf numFmtId="164" fontId="3" fillId="3" borderId="3" xfId="1" applyNumberFormat="1" applyFont="1" applyFill="1" applyBorder="1"/>
    <xf numFmtId="10" fontId="3" fillId="3" borderId="3" xfId="1" applyNumberFormat="1" applyFont="1" applyFill="1" applyBorder="1"/>
    <xf numFmtId="10" fontId="3" fillId="3" borderId="3" xfId="1" applyNumberFormat="1" applyFont="1" applyFill="1" applyBorder="1" applyAlignment="1">
      <alignment horizontal="center"/>
    </xf>
    <xf numFmtId="1" fontId="3" fillId="3" borderId="3" xfId="0" applyNumberFormat="1" applyFont="1" applyFill="1" applyBorder="1"/>
    <xf numFmtId="164" fontId="3" fillId="6" borderId="3" xfId="1" applyNumberFormat="1" applyFont="1" applyFill="1" applyBorder="1" applyAlignment="1">
      <alignment horizontal="center" vertical="center"/>
    </xf>
    <xf numFmtId="0" fontId="3" fillId="4" borderId="3" xfId="0" applyFont="1" applyFill="1" applyBorder="1"/>
    <xf numFmtId="0" fontId="4" fillId="4" borderId="3" xfId="0" applyFont="1" applyFill="1" applyBorder="1"/>
    <xf numFmtId="0" fontId="4" fillId="4" borderId="3" xfId="0" applyFont="1" applyFill="1" applyBorder="1" applyAlignment="1">
      <alignment horizontal="center"/>
    </xf>
    <xf numFmtId="164" fontId="4" fillId="4" borderId="3" xfId="1" applyNumberFormat="1" applyFont="1" applyFill="1" applyBorder="1" applyAlignment="1">
      <alignment horizontal="center"/>
    </xf>
    <xf numFmtId="0" fontId="4" fillId="4" borderId="3" xfId="1" applyNumberFormat="1" applyFont="1" applyFill="1" applyBorder="1" applyAlignment="1">
      <alignment horizontal="center"/>
    </xf>
    <xf numFmtId="9" fontId="3" fillId="4" borderId="3" xfId="1" applyFont="1" applyFill="1" applyBorder="1" applyAlignment="1">
      <alignment horizontal="center" vertical="center"/>
    </xf>
    <xf numFmtId="164" fontId="3" fillId="4" borderId="3" xfId="1" applyNumberFormat="1" applyFont="1" applyFill="1" applyBorder="1" applyAlignment="1">
      <alignment horizontal="center" vertical="center"/>
    </xf>
    <xf numFmtId="1" fontId="3" fillId="4" borderId="3" xfId="1" applyNumberFormat="1" applyFont="1" applyFill="1" applyBorder="1" applyAlignment="1">
      <alignment horizontal="center" vertical="center"/>
    </xf>
    <xf numFmtId="164" fontId="4" fillId="4" borderId="3" xfId="0" applyNumberFormat="1" applyFont="1" applyFill="1" applyBorder="1" applyAlignment="1">
      <alignment horizontal="center"/>
    </xf>
    <xf numFmtId="164" fontId="3" fillId="4" borderId="0" xfId="1" applyNumberFormat="1" applyFont="1" applyFill="1" applyBorder="1" applyAlignment="1">
      <alignment horizontal="center" vertical="center"/>
    </xf>
    <xf numFmtId="164" fontId="4" fillId="4" borderId="3" xfId="1" applyNumberFormat="1" applyFont="1" applyFill="1" applyBorder="1"/>
    <xf numFmtId="10" fontId="4" fillId="4" borderId="3" xfId="1" applyNumberFormat="1" applyFont="1" applyFill="1" applyBorder="1"/>
    <xf numFmtId="1" fontId="4" fillId="4" borderId="3" xfId="0" applyNumberFormat="1" applyFont="1" applyFill="1" applyBorder="1"/>
    <xf numFmtId="1" fontId="3" fillId="3" borderId="3" xfId="0" applyNumberFormat="1" applyFont="1" applyFill="1" applyBorder="1" applyAlignment="1">
      <alignment horizontal="center"/>
    </xf>
    <xf numFmtId="0" fontId="3" fillId="5" borderId="3" xfId="0" applyFont="1" applyFill="1" applyBorder="1"/>
    <xf numFmtId="0" fontId="4" fillId="5" borderId="3" xfId="0" applyFont="1" applyFill="1" applyBorder="1"/>
    <xf numFmtId="0" fontId="4" fillId="5" borderId="3" xfId="0" applyFont="1" applyFill="1" applyBorder="1" applyAlignment="1">
      <alignment horizontal="center"/>
    </xf>
    <xf numFmtId="164" fontId="4" fillId="5" borderId="3" xfId="1" applyNumberFormat="1" applyFont="1" applyFill="1" applyBorder="1" applyAlignment="1">
      <alignment horizontal="center"/>
    </xf>
    <xf numFmtId="0" fontId="4" fillId="5" borderId="3" xfId="1" applyNumberFormat="1" applyFont="1" applyFill="1" applyBorder="1" applyAlignment="1">
      <alignment horizontal="center"/>
    </xf>
    <xf numFmtId="9" fontId="3" fillId="5" borderId="3" xfId="1" applyFont="1" applyFill="1" applyBorder="1" applyAlignment="1">
      <alignment horizontal="center" vertical="center"/>
    </xf>
    <xf numFmtId="164" fontId="3" fillId="5" borderId="3" xfId="1" applyNumberFormat="1" applyFont="1" applyFill="1" applyBorder="1" applyAlignment="1">
      <alignment horizontal="center" vertical="center"/>
    </xf>
    <xf numFmtId="164" fontId="4" fillId="5" borderId="3" xfId="0" applyNumberFormat="1" applyFont="1" applyFill="1" applyBorder="1" applyAlignment="1">
      <alignment horizontal="center"/>
    </xf>
    <xf numFmtId="164" fontId="4" fillId="5" borderId="3" xfId="1" applyNumberFormat="1" applyFont="1" applyFill="1" applyBorder="1"/>
    <xf numFmtId="1" fontId="3" fillId="6" borderId="3" xfId="1" applyNumberFormat="1" applyFont="1" applyFill="1" applyBorder="1" applyAlignment="1">
      <alignment horizontal="center" vertical="center"/>
    </xf>
    <xf numFmtId="1" fontId="4" fillId="5" borderId="3" xfId="0" applyNumberFormat="1" applyFont="1" applyFill="1" applyBorder="1"/>
    <xf numFmtId="10" fontId="4" fillId="5" borderId="3" xfId="1" applyNumberFormat="1" applyFont="1" applyFill="1" applyBorder="1"/>
    <xf numFmtId="1" fontId="3" fillId="5" borderId="3" xfId="1" applyNumberFormat="1" applyFont="1" applyFill="1" applyBorder="1" applyAlignment="1">
      <alignment horizontal="center" vertical="center"/>
    </xf>
    <xf numFmtId="10" fontId="4" fillId="5" borderId="3" xfId="1" applyNumberFormat="1" applyFont="1" applyFill="1" applyBorder="1" applyAlignment="1">
      <alignment horizontal="center"/>
    </xf>
    <xf numFmtId="1" fontId="0" fillId="0" borderId="0" xfId="0" applyNumberFormat="1"/>
    <xf numFmtId="9" fontId="0" fillId="0" borderId="0" xfId="1" applyFont="1"/>
    <xf numFmtId="164" fontId="5" fillId="10" borderId="3" xfId="1" applyNumberFormat="1" applyFont="1" applyFill="1" applyBorder="1" applyAlignment="1">
      <alignment horizontal="center" vertical="center"/>
    </xf>
    <xf numFmtId="164" fontId="8" fillId="10" borderId="3" xfId="1" applyNumberFormat="1" applyFont="1" applyFill="1" applyBorder="1" applyAlignment="1">
      <alignment horizontal="center" vertical="center"/>
    </xf>
    <xf numFmtId="10" fontId="2" fillId="7" borderId="3" xfId="1" applyNumberFormat="1" applyFont="1" applyFill="1" applyBorder="1" applyAlignment="1">
      <alignment horizontal="center" vertical="center"/>
    </xf>
    <xf numFmtId="0" fontId="3" fillId="8" borderId="3" xfId="1" applyNumberFormat="1" applyFont="1" applyFill="1" applyBorder="1" applyAlignment="1">
      <alignment horizontal="center" vertical="center"/>
    </xf>
    <xf numFmtId="1" fontId="3" fillId="8" borderId="3" xfId="1" applyNumberFormat="1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/>
    </xf>
    <xf numFmtId="0" fontId="11" fillId="3" borderId="3" xfId="1" applyNumberFormat="1" applyFont="1" applyFill="1" applyBorder="1" applyAlignment="1">
      <alignment horizontal="center"/>
    </xf>
    <xf numFmtId="164" fontId="11" fillId="3" borderId="3" xfId="1" applyNumberFormat="1" applyFont="1" applyFill="1" applyBorder="1" applyAlignment="1">
      <alignment horizontal="center"/>
    </xf>
    <xf numFmtId="0" fontId="12" fillId="4" borderId="3" xfId="1" applyNumberFormat="1" applyFont="1" applyFill="1" applyBorder="1" applyAlignment="1">
      <alignment horizontal="center"/>
    </xf>
    <xf numFmtId="164" fontId="12" fillId="4" borderId="3" xfId="1" applyNumberFormat="1" applyFont="1" applyFill="1" applyBorder="1" applyAlignment="1">
      <alignment horizontal="center"/>
    </xf>
    <xf numFmtId="164" fontId="11" fillId="4" borderId="3" xfId="1" applyNumberFormat="1" applyFont="1" applyFill="1" applyBorder="1" applyAlignment="1">
      <alignment horizontal="center" vertical="center"/>
    </xf>
    <xf numFmtId="0" fontId="12" fillId="5" borderId="3" xfId="1" applyNumberFormat="1" applyFont="1" applyFill="1" applyBorder="1" applyAlignment="1">
      <alignment horizontal="center"/>
    </xf>
    <xf numFmtId="164" fontId="12" fillId="5" borderId="3" xfId="1" applyNumberFormat="1" applyFont="1" applyFill="1" applyBorder="1" applyAlignment="1">
      <alignment horizontal="center"/>
    </xf>
    <xf numFmtId="164" fontId="11" fillId="5" borderId="3" xfId="1" applyNumberFormat="1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0" fontId="12" fillId="4" borderId="3" xfId="0" applyFont="1" applyFill="1" applyBorder="1" applyAlignment="1">
      <alignment horizontal="center"/>
    </xf>
    <xf numFmtId="0" fontId="12" fillId="5" borderId="3" xfId="0" applyFont="1" applyFill="1" applyBorder="1" applyAlignment="1">
      <alignment horizontal="center"/>
    </xf>
    <xf numFmtId="0" fontId="13" fillId="7" borderId="3" xfId="0" applyFont="1" applyFill="1" applyBorder="1" applyAlignment="1">
      <alignment horizontal="center" vertical="center"/>
    </xf>
    <xf numFmtId="0" fontId="11" fillId="3" borderId="3" xfId="0" applyFont="1" applyFill="1" applyBorder="1"/>
    <xf numFmtId="164" fontId="11" fillId="3" borderId="3" xfId="1" applyNumberFormat="1" applyFont="1" applyFill="1" applyBorder="1"/>
    <xf numFmtId="0" fontId="12" fillId="4" borderId="3" xfId="0" applyFont="1" applyFill="1" applyBorder="1"/>
    <xf numFmtId="164" fontId="12" fillId="4" borderId="3" xfId="1" applyNumberFormat="1" applyFont="1" applyFill="1" applyBorder="1"/>
    <xf numFmtId="0" fontId="12" fillId="5" borderId="3" xfId="0" applyFont="1" applyFill="1" applyBorder="1"/>
    <xf numFmtId="164" fontId="12" fillId="5" borderId="3" xfId="1" applyNumberFormat="1" applyFont="1" applyFill="1" applyBorder="1"/>
    <xf numFmtId="0" fontId="15" fillId="2" borderId="3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/>
    </xf>
    <xf numFmtId="0" fontId="9" fillId="3" borderId="3" xfId="0" applyFont="1" applyFill="1" applyBorder="1"/>
    <xf numFmtId="0" fontId="9" fillId="4" borderId="3" xfId="0" applyFont="1" applyFill="1" applyBorder="1"/>
    <xf numFmtId="9" fontId="15" fillId="2" borderId="3" xfId="1" applyFont="1" applyFill="1" applyBorder="1" applyAlignment="1">
      <alignment horizontal="center" vertical="center"/>
    </xf>
    <xf numFmtId="10" fontId="11" fillId="3" borderId="3" xfId="1" applyNumberFormat="1" applyFont="1" applyFill="1" applyBorder="1"/>
    <xf numFmtId="1" fontId="11" fillId="3" borderId="3" xfId="1" applyNumberFormat="1" applyFont="1" applyFill="1" applyBorder="1" applyAlignment="1">
      <alignment horizontal="center"/>
    </xf>
    <xf numFmtId="10" fontId="11" fillId="3" borderId="3" xfId="1" applyNumberFormat="1" applyFont="1" applyFill="1" applyBorder="1" applyAlignment="1">
      <alignment horizontal="center"/>
    </xf>
    <xf numFmtId="10" fontId="12" fillId="4" borderId="3" xfId="1" applyNumberFormat="1" applyFont="1" applyFill="1" applyBorder="1"/>
    <xf numFmtId="1" fontId="12" fillId="4" borderId="3" xfId="1" applyNumberFormat="1" applyFont="1" applyFill="1" applyBorder="1" applyAlignment="1">
      <alignment horizontal="center"/>
    </xf>
    <xf numFmtId="10" fontId="12" fillId="4" borderId="3" xfId="1" applyNumberFormat="1" applyFont="1" applyFill="1" applyBorder="1" applyAlignment="1">
      <alignment horizontal="center"/>
    </xf>
    <xf numFmtId="1" fontId="11" fillId="3" borderId="3" xfId="0" applyNumberFormat="1" applyFont="1" applyFill="1" applyBorder="1" applyAlignment="1">
      <alignment horizontal="center"/>
    </xf>
    <xf numFmtId="1" fontId="12" fillId="5" borderId="3" xfId="0" applyNumberFormat="1" applyFont="1" applyFill="1" applyBorder="1" applyAlignment="1">
      <alignment horizontal="center"/>
    </xf>
    <xf numFmtId="0" fontId="10" fillId="4" borderId="3" xfId="0" applyFont="1" applyFill="1" applyBorder="1"/>
    <xf numFmtId="0" fontId="10" fillId="5" borderId="3" xfId="0" applyFont="1" applyFill="1" applyBorder="1"/>
    <xf numFmtId="1" fontId="11" fillId="4" borderId="3" xfId="1" applyNumberFormat="1" applyFont="1" applyFill="1" applyBorder="1" applyAlignment="1">
      <alignment horizontal="center" vertical="center"/>
    </xf>
    <xf numFmtId="0" fontId="11" fillId="4" borderId="3" xfId="0" applyFont="1" applyFill="1" applyBorder="1"/>
    <xf numFmtId="0" fontId="15" fillId="2" borderId="1" xfId="0" applyFont="1" applyFill="1" applyBorder="1" applyAlignment="1">
      <alignment horizontal="center" vertical="center"/>
    </xf>
    <xf numFmtId="164" fontId="8" fillId="3" borderId="3" xfId="1" applyNumberFormat="1" applyFont="1" applyFill="1" applyBorder="1"/>
    <xf numFmtId="1" fontId="11" fillId="3" borderId="3" xfId="0" applyNumberFormat="1" applyFont="1" applyFill="1" applyBorder="1"/>
    <xf numFmtId="1" fontId="12" fillId="4" borderId="3" xfId="0" applyNumberFormat="1" applyFont="1" applyFill="1" applyBorder="1"/>
    <xf numFmtId="164" fontId="5" fillId="4" borderId="3" xfId="1" applyNumberFormat="1" applyFont="1" applyFill="1" applyBorder="1" applyAlignment="1">
      <alignment horizontal="center" vertical="center"/>
    </xf>
    <xf numFmtId="164" fontId="11" fillId="3" borderId="3" xfId="0" applyNumberFormat="1" applyFont="1" applyFill="1" applyBorder="1" applyAlignment="1">
      <alignment horizontal="center"/>
    </xf>
    <xf numFmtId="164" fontId="12" fillId="4" borderId="3" xfId="0" applyNumberFormat="1" applyFont="1" applyFill="1" applyBorder="1" applyAlignment="1">
      <alignment horizontal="center"/>
    </xf>
    <xf numFmtId="1" fontId="4" fillId="4" borderId="3" xfId="0" applyNumberFormat="1" applyFont="1" applyFill="1" applyBorder="1" applyAlignment="1">
      <alignment horizontal="center"/>
    </xf>
    <xf numFmtId="0" fontId="3" fillId="11" borderId="3" xfId="0" applyFont="1" applyFill="1" applyBorder="1"/>
    <xf numFmtId="1" fontId="3" fillId="11" borderId="3" xfId="0" applyNumberFormat="1" applyFont="1" applyFill="1" applyBorder="1"/>
    <xf numFmtId="0" fontId="14" fillId="2" borderId="3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 wrapText="1"/>
    </xf>
    <xf numFmtId="9" fontId="17" fillId="2" borderId="3" xfId="1" applyFont="1" applyFill="1" applyBorder="1" applyAlignment="1">
      <alignment horizontal="center" vertical="center"/>
    </xf>
    <xf numFmtId="164" fontId="3" fillId="0" borderId="0" xfId="1" applyNumberFormat="1" applyFont="1"/>
    <xf numFmtId="0" fontId="17" fillId="2" borderId="1" xfId="0" applyFont="1" applyFill="1" applyBorder="1" applyAlignment="1">
      <alignment horizontal="center" vertical="center"/>
    </xf>
    <xf numFmtId="0" fontId="2" fillId="12" borderId="3" xfId="0" applyFont="1" applyFill="1" applyBorder="1" applyAlignment="1">
      <alignment vertical="center"/>
    </xf>
    <xf numFmtId="0" fontId="2" fillId="12" borderId="3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/>
    </xf>
    <xf numFmtId="164" fontId="8" fillId="4" borderId="3" xfId="1" applyNumberFormat="1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 wrapText="1"/>
    </xf>
    <xf numFmtId="164" fontId="11" fillId="11" borderId="3" xfId="1" applyNumberFormat="1" applyFont="1" applyFill="1" applyBorder="1" applyAlignment="1">
      <alignment horizontal="center"/>
    </xf>
    <xf numFmtId="3" fontId="12" fillId="4" borderId="3" xfId="1" applyNumberFormat="1" applyFont="1" applyFill="1" applyBorder="1" applyAlignment="1">
      <alignment horizontal="center" vertical="center"/>
    </xf>
    <xf numFmtId="1" fontId="12" fillId="4" borderId="3" xfId="1" applyNumberFormat="1" applyFont="1" applyFill="1" applyBorder="1" applyAlignment="1">
      <alignment horizontal="center" vertical="center"/>
    </xf>
    <xf numFmtId="3" fontId="4" fillId="4" borderId="3" xfId="0" applyNumberFormat="1" applyFont="1" applyFill="1" applyBorder="1" applyAlignment="1">
      <alignment horizontal="center"/>
    </xf>
    <xf numFmtId="3" fontId="3" fillId="3" borderId="3" xfId="1" applyNumberFormat="1" applyFont="1" applyFill="1" applyBorder="1" applyAlignment="1">
      <alignment horizontal="center" vertical="center"/>
    </xf>
    <xf numFmtId="164" fontId="0" fillId="0" borderId="0" xfId="0" applyNumberFormat="1"/>
    <xf numFmtId="164" fontId="3" fillId="3" borderId="3" xfId="1" applyNumberFormat="1" applyFont="1" applyFill="1" applyBorder="1" applyAlignment="1">
      <alignment horizontal="right"/>
    </xf>
    <xf numFmtId="0" fontId="9" fillId="0" borderId="0" xfId="0" applyFont="1" applyAlignment="1">
      <alignment horizontal="center"/>
    </xf>
    <xf numFmtId="0" fontId="9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31" fillId="0" borderId="0" xfId="0" applyFont="1" applyAlignment="1">
      <alignment horizontal="center"/>
    </xf>
    <xf numFmtId="0" fontId="31" fillId="0" borderId="0" xfId="0" applyFont="1"/>
    <xf numFmtId="10" fontId="32" fillId="0" borderId="0" xfId="0" applyNumberFormat="1" applyFont="1"/>
    <xf numFmtId="10" fontId="32" fillId="22" borderId="0" xfId="0" applyNumberFormat="1" applyFont="1" applyFill="1"/>
    <xf numFmtId="0" fontId="31" fillId="22" borderId="0" xfId="0" applyFont="1" applyFill="1"/>
    <xf numFmtId="164" fontId="33" fillId="0" borderId="27" xfId="1" applyNumberFormat="1" applyFont="1" applyBorder="1" applyAlignment="1">
      <alignment horizontal="center"/>
    </xf>
    <xf numFmtId="164" fontId="9" fillId="0" borderId="0" xfId="1" applyNumberFormat="1" applyFont="1"/>
    <xf numFmtId="0" fontId="25" fillId="0" borderId="0" xfId="0" applyFont="1"/>
    <xf numFmtId="0" fontId="0" fillId="0" borderId="0" xfId="0" applyAlignment="1">
      <alignment horizontal="center"/>
    </xf>
    <xf numFmtId="1" fontId="36" fillId="25" borderId="3" xfId="1" applyNumberFormat="1" applyFont="1" applyFill="1" applyBorder="1" applyAlignment="1">
      <alignment horizontal="center" vertical="center"/>
    </xf>
    <xf numFmtId="0" fontId="36" fillId="25" borderId="0" xfId="0" applyFont="1" applyFill="1" applyAlignment="1">
      <alignment horizontal="center" vertical="center"/>
    </xf>
    <xf numFmtId="169" fontId="36" fillId="25" borderId="3" xfId="3" applyNumberFormat="1" applyFont="1" applyFill="1" applyBorder="1" applyAlignment="1">
      <alignment horizontal="center" vertical="center"/>
    </xf>
    <xf numFmtId="1" fontId="36" fillId="4" borderId="3" xfId="1" applyNumberFormat="1" applyFont="1" applyFill="1" applyBorder="1" applyAlignment="1">
      <alignment horizontal="center" vertical="center"/>
    </xf>
    <xf numFmtId="0" fontId="11" fillId="0" borderId="0" xfId="0" applyFont="1"/>
    <xf numFmtId="164" fontId="8" fillId="11" borderId="3" xfId="1" applyNumberFormat="1" applyFont="1" applyFill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39" fillId="22" borderId="0" xfId="0" applyFont="1" applyFill="1" applyAlignment="1">
      <alignment horizontal="center" vertical="center"/>
    </xf>
    <xf numFmtId="0" fontId="40" fillId="0" borderId="0" xfId="0" applyFont="1" applyAlignment="1">
      <alignment horizontal="left" vertical="center"/>
    </xf>
    <xf numFmtId="0" fontId="41" fillId="0" borderId="0" xfId="0" applyFont="1"/>
    <xf numFmtId="17" fontId="42" fillId="12" borderId="3" xfId="0" applyNumberFormat="1" applyFont="1" applyFill="1" applyBorder="1" applyAlignment="1">
      <alignment horizontal="left" vertical="center"/>
    </xf>
    <xf numFmtId="0" fontId="35" fillId="12" borderId="3" xfId="0" applyFont="1" applyFill="1" applyBorder="1" applyAlignment="1">
      <alignment horizontal="center" vertical="center"/>
    </xf>
    <xf numFmtId="0" fontId="43" fillId="22" borderId="1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0" fillId="22" borderId="0" xfId="0" applyFill="1"/>
    <xf numFmtId="0" fontId="13" fillId="12" borderId="3" xfId="0" applyFont="1" applyFill="1" applyBorder="1" applyAlignment="1">
      <alignment horizontal="center" vertical="center"/>
    </xf>
    <xf numFmtId="0" fontId="41" fillId="12" borderId="3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22" borderId="3" xfId="0" applyFont="1" applyFill="1" applyBorder="1" applyAlignment="1">
      <alignment vertical="center"/>
    </xf>
    <xf numFmtId="0" fontId="44" fillId="2" borderId="3" xfId="0" applyFont="1" applyFill="1" applyBorder="1" applyAlignment="1">
      <alignment horizontal="left" vertical="center" wrapText="1"/>
    </xf>
    <xf numFmtId="0" fontId="35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/>
    </xf>
    <xf numFmtId="2" fontId="2" fillId="2" borderId="3" xfId="0" applyNumberFormat="1" applyFont="1" applyFill="1" applyBorder="1" applyAlignment="1">
      <alignment horizontal="center" vertical="center" wrapText="1"/>
    </xf>
    <xf numFmtId="2" fontId="2" fillId="22" borderId="3" xfId="0" applyNumberFormat="1" applyFont="1" applyFill="1" applyBorder="1" applyAlignment="1">
      <alignment horizontal="center" vertical="center" wrapText="1"/>
    </xf>
    <xf numFmtId="0" fontId="14" fillId="12" borderId="3" xfId="0" applyFont="1" applyFill="1" applyBorder="1" applyAlignment="1">
      <alignment horizontal="center" vertical="center" wrapText="1"/>
    </xf>
    <xf numFmtId="0" fontId="44" fillId="12" borderId="3" xfId="0" applyFont="1" applyFill="1" applyBorder="1" applyAlignment="1">
      <alignment horizontal="left" vertical="center" wrapText="1"/>
    </xf>
    <xf numFmtId="2" fontId="2" fillId="12" borderId="3" xfId="0" applyNumberFormat="1" applyFont="1" applyFill="1" applyBorder="1" applyAlignment="1">
      <alignment horizontal="center" vertical="center" wrapText="1"/>
    </xf>
    <xf numFmtId="0" fontId="44" fillId="2" borderId="9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center" vertical="center"/>
    </xf>
    <xf numFmtId="2" fontId="2" fillId="2" borderId="9" xfId="0" applyNumberFormat="1" applyFont="1" applyFill="1" applyBorder="1" applyAlignment="1">
      <alignment horizontal="center" vertical="center" wrapText="1"/>
    </xf>
    <xf numFmtId="0" fontId="17" fillId="12" borderId="3" xfId="0" applyFont="1" applyFill="1" applyBorder="1" applyAlignment="1">
      <alignment horizontal="center" vertical="center" wrapText="1"/>
    </xf>
    <xf numFmtId="2" fontId="2" fillId="22" borderId="10" xfId="0" applyNumberFormat="1" applyFont="1" applyFill="1" applyBorder="1" applyAlignment="1">
      <alignment horizontal="center" vertical="center" wrapText="1"/>
    </xf>
    <xf numFmtId="0" fontId="49" fillId="2" borderId="3" xfId="0" applyFont="1" applyFill="1" applyBorder="1" applyAlignment="1">
      <alignment horizontal="center" vertical="center"/>
    </xf>
    <xf numFmtId="0" fontId="15" fillId="22" borderId="3" xfId="0" applyFont="1" applyFill="1" applyBorder="1" applyAlignment="1">
      <alignment horizontal="center" vertical="center" wrapText="1"/>
    </xf>
    <xf numFmtId="0" fontId="2" fillId="12" borderId="3" xfId="0" applyFont="1" applyFill="1" applyBorder="1" applyAlignment="1">
      <alignment horizontal="center" vertical="center" wrapText="1"/>
    </xf>
    <xf numFmtId="0" fontId="50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5" fillId="22" borderId="0" xfId="0" applyFont="1" applyFill="1"/>
    <xf numFmtId="0" fontId="11" fillId="22" borderId="3" xfId="0" applyFont="1" applyFill="1" applyBorder="1"/>
    <xf numFmtId="3" fontId="9" fillId="26" borderId="3" xfId="1" applyNumberFormat="1" applyFont="1" applyFill="1" applyBorder="1" applyAlignment="1">
      <alignment horizontal="center" vertical="center"/>
    </xf>
    <xf numFmtId="3" fontId="51" fillId="26" borderId="3" xfId="1" applyNumberFormat="1" applyFont="1" applyFill="1" applyBorder="1" applyAlignment="1">
      <alignment horizontal="center" vertical="center"/>
    </xf>
    <xf numFmtId="164" fontId="11" fillId="27" borderId="3" xfId="1" applyNumberFormat="1" applyFont="1" applyFill="1" applyBorder="1" applyAlignment="1">
      <alignment horizontal="center" vertical="center"/>
    </xf>
    <xf numFmtId="166" fontId="11" fillId="27" borderId="3" xfId="1" applyNumberFormat="1" applyFont="1" applyFill="1" applyBorder="1" applyAlignment="1">
      <alignment horizontal="center" vertical="center"/>
    </xf>
    <xf numFmtId="166" fontId="11" fillId="22" borderId="3" xfId="1" applyNumberFormat="1" applyFont="1" applyFill="1" applyBorder="1" applyAlignment="1">
      <alignment horizontal="center" vertical="center"/>
    </xf>
    <xf numFmtId="9" fontId="11" fillId="5" borderId="3" xfId="1" applyFont="1" applyFill="1" applyBorder="1" applyAlignment="1">
      <alignment horizontal="center" vertical="center"/>
    </xf>
    <xf numFmtId="166" fontId="11" fillId="8" borderId="3" xfId="1" applyNumberFormat="1" applyFont="1" applyFill="1" applyBorder="1" applyAlignment="1">
      <alignment horizontal="center" vertical="center"/>
    </xf>
    <xf numFmtId="10" fontId="11" fillId="27" borderId="3" xfId="1" applyNumberFormat="1" applyFont="1" applyFill="1" applyBorder="1" applyAlignment="1">
      <alignment horizontal="center" vertical="center"/>
    </xf>
    <xf numFmtId="9" fontId="11" fillId="8" borderId="3" xfId="1" applyFont="1" applyFill="1" applyBorder="1" applyAlignment="1">
      <alignment horizontal="center" vertical="center"/>
    </xf>
    <xf numFmtId="9" fontId="11" fillId="22" borderId="3" xfId="1" applyFont="1" applyFill="1" applyBorder="1" applyAlignment="1">
      <alignment horizontal="center" vertical="center"/>
    </xf>
    <xf numFmtId="166" fontId="52" fillId="26" borderId="3" xfId="1" applyNumberFormat="1" applyFont="1" applyFill="1" applyBorder="1" applyAlignment="1">
      <alignment horizontal="center" vertical="center"/>
    </xf>
    <xf numFmtId="2" fontId="11" fillId="8" borderId="3" xfId="1" applyNumberFormat="1" applyFont="1" applyFill="1" applyBorder="1" applyAlignment="1">
      <alignment horizontal="center" vertical="center"/>
    </xf>
    <xf numFmtId="1" fontId="36" fillId="0" borderId="0" xfId="0" applyNumberFormat="1" applyFont="1"/>
    <xf numFmtId="9" fontId="11" fillId="3" borderId="3" xfId="1" applyFont="1" applyFill="1" applyBorder="1"/>
    <xf numFmtId="166" fontId="11" fillId="3" borderId="3" xfId="0" applyNumberFormat="1" applyFont="1" applyFill="1" applyBorder="1"/>
    <xf numFmtId="3" fontId="11" fillId="3" borderId="3" xfId="0" applyNumberFormat="1" applyFont="1" applyFill="1" applyBorder="1"/>
    <xf numFmtId="170" fontId="11" fillId="3" borderId="3" xfId="0" applyNumberFormat="1" applyFont="1" applyFill="1" applyBorder="1"/>
    <xf numFmtId="9" fontId="12" fillId="3" borderId="3" xfId="0" applyNumberFormat="1" applyFont="1" applyFill="1" applyBorder="1"/>
    <xf numFmtId="166" fontId="11" fillId="3" borderId="3" xfId="1" applyNumberFormat="1" applyFont="1" applyFill="1" applyBorder="1"/>
    <xf numFmtId="9" fontId="12" fillId="3" borderId="3" xfId="1" applyFont="1" applyFill="1" applyBorder="1"/>
    <xf numFmtId="164" fontId="36" fillId="27" borderId="3" xfId="1" applyNumberFormat="1" applyFont="1" applyFill="1" applyBorder="1" applyAlignment="1">
      <alignment horizontal="center" vertical="center"/>
    </xf>
    <xf numFmtId="0" fontId="10" fillId="11" borderId="0" xfId="0" applyFont="1" applyFill="1" applyAlignment="1">
      <alignment horizontal="right"/>
    </xf>
    <xf numFmtId="9" fontId="12" fillId="19" borderId="3" xfId="0" applyNumberFormat="1" applyFont="1" applyFill="1" applyBorder="1"/>
    <xf numFmtId="0" fontId="11" fillId="19" borderId="3" xfId="0" applyFont="1" applyFill="1" applyBorder="1"/>
    <xf numFmtId="9" fontId="11" fillId="19" borderId="3" xfId="0" applyNumberFormat="1" applyFont="1" applyFill="1" applyBorder="1"/>
    <xf numFmtId="166" fontId="11" fillId="19" borderId="3" xfId="0" applyNumberFormat="1" applyFont="1" applyFill="1" applyBorder="1"/>
    <xf numFmtId="3" fontId="11" fillId="19" borderId="3" xfId="0" applyNumberFormat="1" applyFont="1" applyFill="1" applyBorder="1"/>
    <xf numFmtId="164" fontId="11" fillId="19" borderId="3" xfId="0" applyNumberFormat="1" applyFont="1" applyFill="1" applyBorder="1"/>
    <xf numFmtId="170" fontId="11" fillId="19" borderId="3" xfId="0" applyNumberFormat="1" applyFont="1" applyFill="1" applyBorder="1"/>
    <xf numFmtId="170" fontId="10" fillId="11" borderId="0" xfId="0" applyNumberFormat="1" applyFont="1" applyFill="1"/>
    <xf numFmtId="1" fontId="11" fillId="19" borderId="3" xfId="0" applyNumberFormat="1" applyFont="1" applyFill="1" applyBorder="1"/>
    <xf numFmtId="0" fontId="12" fillId="22" borderId="3" xfId="0" applyFont="1" applyFill="1" applyBorder="1"/>
    <xf numFmtId="164" fontId="12" fillId="4" borderId="3" xfId="0" applyNumberFormat="1" applyFont="1" applyFill="1" applyBorder="1" applyAlignment="1">
      <alignment horizontal="center" vertical="center"/>
    </xf>
    <xf numFmtId="166" fontId="11" fillId="4" borderId="3" xfId="1" applyNumberFormat="1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horizontal="center" vertical="center"/>
    </xf>
    <xf numFmtId="164" fontId="11" fillId="22" borderId="3" xfId="1" applyNumberFormat="1" applyFont="1" applyFill="1" applyBorder="1" applyAlignment="1">
      <alignment horizontal="center" vertical="center"/>
    </xf>
    <xf numFmtId="9" fontId="11" fillId="4" borderId="3" xfId="1" applyFont="1" applyFill="1" applyBorder="1" applyAlignment="1">
      <alignment horizontal="center" vertical="center"/>
    </xf>
    <xf numFmtId="166" fontId="53" fillId="4" borderId="3" xfId="1" applyNumberFormat="1" applyFont="1" applyFill="1" applyBorder="1" applyAlignment="1">
      <alignment horizontal="center" vertical="center"/>
    </xf>
    <xf numFmtId="164" fontId="11" fillId="8" borderId="3" xfId="1" applyNumberFormat="1" applyFont="1" applyFill="1" applyBorder="1" applyAlignment="1">
      <alignment horizontal="center" vertical="center"/>
    </xf>
    <xf numFmtId="170" fontId="10" fillId="0" borderId="0" xfId="0" applyNumberFormat="1" applyFont="1"/>
    <xf numFmtId="9" fontId="54" fillId="19" borderId="3" xfId="0" applyNumberFormat="1" applyFont="1" applyFill="1" applyBorder="1"/>
    <xf numFmtId="0" fontId="35" fillId="0" borderId="0" xfId="0" applyFont="1"/>
    <xf numFmtId="2" fontId="11" fillId="4" borderId="3" xfId="1" applyNumberFormat="1" applyFont="1" applyFill="1" applyBorder="1" applyAlignment="1">
      <alignment horizontal="center" vertical="center"/>
    </xf>
    <xf numFmtId="2" fontId="11" fillId="22" borderId="3" xfId="1" applyNumberFormat="1" applyFont="1" applyFill="1" applyBorder="1" applyAlignment="1">
      <alignment horizontal="center" vertical="center"/>
    </xf>
    <xf numFmtId="0" fontId="11" fillId="5" borderId="3" xfId="0" applyFont="1" applyFill="1" applyBorder="1"/>
    <xf numFmtId="3" fontId="11" fillId="5" borderId="3" xfId="1" applyNumberFormat="1" applyFont="1" applyFill="1" applyBorder="1" applyAlignment="1">
      <alignment horizontal="center" vertical="center"/>
    </xf>
    <xf numFmtId="2" fontId="11" fillId="5" borderId="3" xfId="1" applyNumberFormat="1" applyFont="1" applyFill="1" applyBorder="1" applyAlignment="1">
      <alignment horizontal="center" vertical="center"/>
    </xf>
    <xf numFmtId="164" fontId="11" fillId="5" borderId="3" xfId="1" applyNumberFormat="1" applyFont="1" applyFill="1" applyBorder="1" applyAlignment="1">
      <alignment horizontal="left" vertical="center"/>
    </xf>
    <xf numFmtId="1" fontId="11" fillId="5" borderId="3" xfId="1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22" borderId="0" xfId="0" applyFont="1" applyFill="1" applyAlignment="1">
      <alignment horizontal="center" vertical="center"/>
    </xf>
    <xf numFmtId="0" fontId="10" fillId="22" borderId="0" xfId="0" applyFont="1" applyFill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29" fillId="0" borderId="28" xfId="0" applyFont="1" applyBorder="1" applyAlignment="1">
      <alignment horizontal="center" vertical="center"/>
    </xf>
    <xf numFmtId="0" fontId="29" fillId="22" borderId="0" xfId="0" applyFont="1" applyFill="1" applyAlignment="1">
      <alignment horizontal="center" vertical="center"/>
    </xf>
    <xf numFmtId="0" fontId="29" fillId="0" borderId="28" xfId="0" applyFont="1" applyBorder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11" fillId="0" borderId="28" xfId="0" applyFont="1" applyBorder="1" applyAlignment="1">
      <alignment horizontal="left"/>
    </xf>
    <xf numFmtId="3" fontId="11" fillId="0" borderId="28" xfId="0" applyNumberFormat="1" applyFont="1" applyBorder="1" applyAlignment="1">
      <alignment horizontal="center" vertical="center"/>
    </xf>
    <xf numFmtId="164" fontId="11" fillId="0" borderId="28" xfId="1" applyNumberFormat="1" applyFont="1" applyBorder="1" applyAlignment="1">
      <alignment horizontal="center"/>
    </xf>
    <xf numFmtId="9" fontId="11" fillId="0" borderId="28" xfId="1" applyFont="1" applyBorder="1" applyAlignment="1">
      <alignment horizontal="center"/>
    </xf>
    <xf numFmtId="164" fontId="11" fillId="22" borderId="0" xfId="1" applyNumberFormat="1" applyFont="1" applyFill="1" applyBorder="1" applyAlignment="1">
      <alignment horizontal="center"/>
    </xf>
    <xf numFmtId="0" fontId="11" fillId="0" borderId="28" xfId="0" applyFont="1" applyBorder="1" applyAlignment="1">
      <alignment horizontal="center" vertical="center"/>
    </xf>
    <xf numFmtId="9" fontId="11" fillId="0" borderId="0" xfId="1" applyFont="1" applyBorder="1" applyAlignment="1">
      <alignment horizontal="center" vertical="center"/>
    </xf>
    <xf numFmtId="9" fontId="11" fillId="22" borderId="0" xfId="1" applyFont="1" applyFill="1" applyBorder="1" applyAlignment="1">
      <alignment horizontal="center" vertical="center"/>
    </xf>
    <xf numFmtId="9" fontId="11" fillId="0" borderId="0" xfId="1" applyFont="1" applyBorder="1" applyAlignment="1">
      <alignment horizontal="center"/>
    </xf>
    <xf numFmtId="164" fontId="11" fillId="0" borderId="28" xfId="0" applyNumberFormat="1" applyFont="1" applyBorder="1" applyAlignment="1">
      <alignment horizontal="left"/>
    </xf>
    <xf numFmtId="0" fontId="11" fillId="0" borderId="0" xfId="0" applyFont="1" applyAlignment="1">
      <alignment horizontal="left"/>
    </xf>
    <xf numFmtId="164" fontId="11" fillId="0" borderId="0" xfId="1" applyNumberFormat="1" applyFont="1" applyBorder="1" applyAlignment="1">
      <alignment horizontal="center"/>
    </xf>
    <xf numFmtId="1" fontId="11" fillId="0" borderId="0" xfId="0" applyNumberFormat="1" applyFont="1" applyAlignment="1">
      <alignment horizontal="center" vertical="center"/>
    </xf>
    <xf numFmtId="0" fontId="10" fillId="20" borderId="22" xfId="0" applyFont="1" applyFill="1" applyBorder="1"/>
    <xf numFmtId="9" fontId="9" fillId="20" borderId="23" xfId="0" applyNumberFormat="1" applyFont="1" applyFill="1" applyBorder="1"/>
    <xf numFmtId="0" fontId="43" fillId="12" borderId="8" xfId="0" applyFont="1" applyFill="1" applyBorder="1" applyAlignment="1">
      <alignment horizontal="center" vertical="center"/>
    </xf>
    <xf numFmtId="0" fontId="43" fillId="1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/>
    </xf>
    <xf numFmtId="164" fontId="9" fillId="0" borderId="1" xfId="1" applyNumberFormat="1" applyFont="1" applyFill="1" applyBorder="1" applyAlignment="1">
      <alignment horizontal="center" vertical="center"/>
    </xf>
    <xf numFmtId="0" fontId="9" fillId="3" borderId="8" xfId="0" applyFont="1" applyFill="1" applyBorder="1"/>
    <xf numFmtId="0" fontId="9" fillId="3" borderId="38" xfId="0" applyFont="1" applyFill="1" applyBorder="1"/>
    <xf numFmtId="9" fontId="0" fillId="3" borderId="3" xfId="0" applyNumberForma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left" vertical="center" wrapText="1"/>
    </xf>
    <xf numFmtId="0" fontId="42" fillId="2" borderId="3" xfId="0" applyFont="1" applyFill="1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2" borderId="0" xfId="0" applyFill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24" fillId="0" borderId="0" xfId="0" applyFont="1"/>
    <xf numFmtId="17" fontId="24" fillId="12" borderId="3" xfId="0" applyNumberFormat="1" applyFont="1" applyFill="1" applyBorder="1" applyAlignment="1">
      <alignment horizontal="left" vertical="center"/>
    </xf>
    <xf numFmtId="0" fontId="17" fillId="12" borderId="3" xfId="0" applyFont="1" applyFill="1" applyBorder="1" applyAlignment="1">
      <alignment horizontal="center" vertical="center"/>
    </xf>
    <xf numFmtId="0" fontId="24" fillId="12" borderId="3" xfId="0" applyFont="1" applyFill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12" borderId="3" xfId="0" applyFont="1" applyFill="1" applyBorder="1" applyAlignment="1">
      <alignment vertical="center"/>
    </xf>
    <xf numFmtId="2" fontId="17" fillId="2" borderId="3" xfId="0" applyNumberFormat="1" applyFont="1" applyFill="1" applyBorder="1" applyAlignment="1">
      <alignment horizontal="center" vertical="center" wrapText="1"/>
    </xf>
    <xf numFmtId="2" fontId="17" fillId="22" borderId="3" xfId="0" applyNumberFormat="1" applyFont="1" applyFill="1" applyBorder="1" applyAlignment="1">
      <alignment horizontal="center" vertical="center" wrapText="1"/>
    </xf>
    <xf numFmtId="0" fontId="17" fillId="22" borderId="3" xfId="0" applyFont="1" applyFill="1" applyBorder="1" applyAlignment="1">
      <alignment horizontal="center" vertical="center" wrapText="1"/>
    </xf>
    <xf numFmtId="0" fontId="27" fillId="0" borderId="0" xfId="0" applyFont="1" applyAlignment="1">
      <alignment vertical="center"/>
    </xf>
    <xf numFmtId="0" fontId="17" fillId="22" borderId="0" xfId="0" applyFont="1" applyFill="1"/>
    <xf numFmtId="0" fontId="0" fillId="3" borderId="3" xfId="0" applyFill="1" applyBorder="1"/>
    <xf numFmtId="164" fontId="0" fillId="5" borderId="3" xfId="1" applyNumberFormat="1" applyFont="1" applyFill="1" applyBorder="1" applyAlignment="1">
      <alignment horizontal="center" vertical="center"/>
    </xf>
    <xf numFmtId="3" fontId="0" fillId="26" borderId="3" xfId="1" applyNumberFormat="1" applyFont="1" applyFill="1" applyBorder="1" applyAlignment="1">
      <alignment horizontal="center" vertical="center"/>
    </xf>
    <xf numFmtId="164" fontId="0" fillId="27" borderId="3" xfId="1" applyNumberFormat="1" applyFont="1" applyFill="1" applyBorder="1" applyAlignment="1">
      <alignment horizontal="center" vertical="center"/>
    </xf>
    <xf numFmtId="166" fontId="0" fillId="27" borderId="3" xfId="1" applyNumberFormat="1" applyFont="1" applyFill="1" applyBorder="1" applyAlignment="1">
      <alignment horizontal="center" vertical="center"/>
    </xf>
    <xf numFmtId="166" fontId="0" fillId="22" borderId="3" xfId="1" applyNumberFormat="1" applyFont="1" applyFill="1" applyBorder="1" applyAlignment="1">
      <alignment horizontal="center" vertical="center"/>
    </xf>
    <xf numFmtId="9" fontId="0" fillId="5" borderId="3" xfId="1" applyFont="1" applyFill="1" applyBorder="1" applyAlignment="1">
      <alignment horizontal="center" vertical="center"/>
    </xf>
    <xf numFmtId="10" fontId="0" fillId="27" borderId="3" xfId="1" applyNumberFormat="1" applyFont="1" applyFill="1" applyBorder="1" applyAlignment="1">
      <alignment horizontal="center" vertical="center"/>
    </xf>
    <xf numFmtId="9" fontId="0" fillId="8" borderId="3" xfId="1" applyFont="1" applyFill="1" applyBorder="1" applyAlignment="1">
      <alignment horizontal="center" vertical="center"/>
    </xf>
    <xf numFmtId="9" fontId="0" fillId="22" borderId="3" xfId="1" applyFont="1" applyFill="1" applyBorder="1" applyAlignment="1">
      <alignment horizontal="center" vertical="center"/>
    </xf>
    <xf numFmtId="166" fontId="25" fillId="26" borderId="3" xfId="1" applyNumberFormat="1" applyFont="1" applyFill="1" applyBorder="1" applyAlignment="1">
      <alignment horizontal="center" vertical="center"/>
    </xf>
    <xf numFmtId="2" fontId="0" fillId="8" borderId="3" xfId="1" applyNumberFormat="1" applyFont="1" applyFill="1" applyBorder="1" applyAlignment="1">
      <alignment horizontal="center" vertical="center"/>
    </xf>
    <xf numFmtId="1" fontId="27" fillId="0" borderId="0" xfId="0" applyNumberFormat="1" applyFont="1"/>
    <xf numFmtId="9" fontId="0" fillId="3" borderId="3" xfId="1" applyFont="1" applyFill="1" applyBorder="1"/>
    <xf numFmtId="166" fontId="0" fillId="3" borderId="3" xfId="0" applyNumberFormat="1" applyFill="1" applyBorder="1"/>
    <xf numFmtId="3" fontId="0" fillId="3" borderId="3" xfId="0" applyNumberFormat="1" applyFill="1" applyBorder="1"/>
    <xf numFmtId="164" fontId="0" fillId="3" borderId="3" xfId="1" applyNumberFormat="1" applyFont="1" applyFill="1" applyBorder="1"/>
    <xf numFmtId="170" fontId="0" fillId="3" borderId="3" xfId="0" applyNumberFormat="1" applyFill="1" applyBorder="1"/>
    <xf numFmtId="9" fontId="25" fillId="3" borderId="3" xfId="0" applyNumberFormat="1" applyFont="1" applyFill="1" applyBorder="1"/>
    <xf numFmtId="166" fontId="0" fillId="3" borderId="3" xfId="1" applyNumberFormat="1" applyFont="1" applyFill="1" applyBorder="1"/>
    <xf numFmtId="9" fontId="25" fillId="3" borderId="3" xfId="1" applyFont="1" applyFill="1" applyBorder="1"/>
    <xf numFmtId="0" fontId="25" fillId="11" borderId="0" xfId="0" applyFont="1" applyFill="1" applyAlignment="1">
      <alignment horizontal="right"/>
    </xf>
    <xf numFmtId="9" fontId="25" fillId="19" borderId="3" xfId="0" applyNumberFormat="1" applyFont="1" applyFill="1" applyBorder="1"/>
    <xf numFmtId="0" fontId="0" fillId="19" borderId="3" xfId="0" applyFill="1" applyBorder="1"/>
    <xf numFmtId="9" fontId="0" fillId="19" borderId="3" xfId="0" applyNumberFormat="1" applyFill="1" applyBorder="1"/>
    <xf numFmtId="166" fontId="0" fillId="19" borderId="3" xfId="0" applyNumberFormat="1" applyFill="1" applyBorder="1"/>
    <xf numFmtId="3" fontId="0" fillId="19" borderId="3" xfId="0" applyNumberFormat="1" applyFill="1" applyBorder="1"/>
    <xf numFmtId="164" fontId="0" fillId="19" borderId="3" xfId="0" applyNumberFormat="1" applyFill="1" applyBorder="1"/>
    <xf numFmtId="170" fontId="0" fillId="19" borderId="3" xfId="0" applyNumberFormat="1" applyFill="1" applyBorder="1"/>
    <xf numFmtId="170" fontId="25" fillId="11" borderId="0" xfId="0" applyNumberFormat="1" applyFont="1" applyFill="1"/>
    <xf numFmtId="1" fontId="0" fillId="3" borderId="3" xfId="0" applyNumberFormat="1" applyFill="1" applyBorder="1"/>
    <xf numFmtId="1" fontId="0" fillId="19" borderId="3" xfId="0" applyNumberFormat="1" applyFill="1" applyBorder="1"/>
    <xf numFmtId="3" fontId="25" fillId="4" borderId="3" xfId="1" applyNumberFormat="1" applyFont="1" applyFill="1" applyBorder="1" applyAlignment="1">
      <alignment horizontal="center" vertical="center"/>
    </xf>
    <xf numFmtId="164" fontId="0" fillId="4" borderId="3" xfId="1" applyNumberFormat="1" applyFont="1" applyFill="1" applyBorder="1" applyAlignment="1">
      <alignment horizontal="center" vertical="center"/>
    </xf>
    <xf numFmtId="0" fontId="25" fillId="4" borderId="3" xfId="0" applyFont="1" applyFill="1" applyBorder="1" applyAlignment="1">
      <alignment horizontal="center" vertical="center"/>
    </xf>
    <xf numFmtId="164" fontId="0" fillId="22" borderId="3" xfId="1" applyNumberFormat="1" applyFont="1" applyFill="1" applyBorder="1" applyAlignment="1">
      <alignment horizontal="center" vertical="center"/>
    </xf>
    <xf numFmtId="9" fontId="0" fillId="4" borderId="3" xfId="1" applyFont="1" applyFill="1" applyBorder="1" applyAlignment="1">
      <alignment horizontal="center" vertical="center"/>
    </xf>
    <xf numFmtId="166" fontId="63" fillId="4" borderId="3" xfId="1" applyNumberFormat="1" applyFont="1" applyFill="1" applyBorder="1" applyAlignment="1">
      <alignment horizontal="center" vertical="center"/>
    </xf>
    <xf numFmtId="1" fontId="0" fillId="4" borderId="3" xfId="1" applyNumberFormat="1" applyFont="1" applyFill="1" applyBorder="1" applyAlignment="1">
      <alignment horizontal="center" vertical="center"/>
    </xf>
    <xf numFmtId="170" fontId="25" fillId="0" borderId="0" xfId="0" applyNumberFormat="1" applyFont="1"/>
    <xf numFmtId="9" fontId="26" fillId="19" borderId="3" xfId="0" applyNumberFormat="1" applyFont="1" applyFill="1" applyBorder="1"/>
    <xf numFmtId="0" fontId="17" fillId="0" borderId="0" xfId="0" applyFont="1"/>
    <xf numFmtId="1" fontId="0" fillId="5" borderId="3" xfId="1" applyNumberFormat="1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8" xfId="0" applyBorder="1" applyAlignment="1">
      <alignment horizontal="left"/>
    </xf>
    <xf numFmtId="164" fontId="0" fillId="0" borderId="28" xfId="1" applyNumberFormat="1" applyFont="1" applyBorder="1" applyAlignment="1">
      <alignment horizontal="center"/>
    </xf>
    <xf numFmtId="9" fontId="0" fillId="0" borderId="28" xfId="1" applyFont="1" applyBorder="1" applyAlignment="1">
      <alignment horizontal="center"/>
    </xf>
    <xf numFmtId="9" fontId="0" fillId="0" borderId="0" xfId="1" applyFont="1" applyBorder="1" applyAlignment="1">
      <alignment horizontal="center" vertical="center"/>
    </xf>
    <xf numFmtId="9" fontId="0" fillId="22" borderId="0" xfId="1" applyFont="1" applyFill="1" applyBorder="1" applyAlignment="1">
      <alignment horizontal="center" vertical="center"/>
    </xf>
    <xf numFmtId="9" fontId="0" fillId="0" borderId="0" xfId="1" applyFont="1" applyBorder="1" applyAlignment="1">
      <alignment horizontal="center"/>
    </xf>
    <xf numFmtId="164" fontId="0" fillId="0" borderId="28" xfId="0" applyNumberFormat="1" applyBorder="1" applyAlignment="1">
      <alignment horizontal="left"/>
    </xf>
    <xf numFmtId="0" fontId="0" fillId="0" borderId="0" xfId="0" applyAlignment="1">
      <alignment horizontal="left"/>
    </xf>
    <xf numFmtId="43" fontId="9" fillId="0" borderId="0" xfId="0" applyNumberFormat="1" applyFont="1"/>
    <xf numFmtId="10" fontId="8" fillId="10" borderId="3" xfId="1" applyNumberFormat="1" applyFont="1" applyFill="1" applyBorder="1" applyAlignment="1">
      <alignment horizontal="center" vertical="center"/>
    </xf>
    <xf numFmtId="10" fontId="3" fillId="3" borderId="3" xfId="1" applyNumberFormat="1" applyFont="1" applyFill="1" applyBorder="1" applyAlignment="1">
      <alignment horizontal="right"/>
    </xf>
    <xf numFmtId="10" fontId="8" fillId="16" borderId="3" xfId="1" applyNumberFormat="1" applyFont="1" applyFill="1" applyBorder="1" applyAlignment="1">
      <alignment horizontal="center" vertical="center"/>
    </xf>
    <xf numFmtId="0" fontId="20" fillId="28" borderId="14" xfId="0" applyFont="1" applyFill="1" applyBorder="1" applyAlignment="1">
      <alignment horizontal="center" vertical="center" wrapText="1" readingOrder="1"/>
    </xf>
    <xf numFmtId="0" fontId="21" fillId="3" borderId="14" xfId="0" applyFont="1" applyFill="1" applyBorder="1" applyAlignment="1">
      <alignment horizontal="left" wrapText="1" readingOrder="1"/>
    </xf>
    <xf numFmtId="164" fontId="21" fillId="3" borderId="14" xfId="0" applyNumberFormat="1" applyFont="1" applyFill="1" applyBorder="1" applyAlignment="1">
      <alignment horizontal="center" vertical="center" wrapText="1" readingOrder="1"/>
    </xf>
    <xf numFmtId="164" fontId="21" fillId="3" borderId="14" xfId="1" applyNumberFormat="1" applyFont="1" applyFill="1" applyBorder="1" applyAlignment="1">
      <alignment horizontal="center" vertical="center" wrapText="1" readingOrder="1"/>
    </xf>
    <xf numFmtId="0" fontId="21" fillId="3" borderId="14" xfId="0" applyFont="1" applyFill="1" applyBorder="1" applyAlignment="1">
      <alignment horizontal="center" vertical="center" wrapText="1" readingOrder="1"/>
    </xf>
    <xf numFmtId="0" fontId="21" fillId="21" borderId="14" xfId="0" applyFont="1" applyFill="1" applyBorder="1" applyAlignment="1">
      <alignment horizontal="left" wrapText="1" readingOrder="1"/>
    </xf>
    <xf numFmtId="0" fontId="23" fillId="21" borderId="14" xfId="0" applyFont="1" applyFill="1" applyBorder="1" applyAlignment="1">
      <alignment horizontal="center" vertical="center" wrapText="1" readingOrder="1"/>
    </xf>
    <xf numFmtId="0" fontId="66" fillId="21" borderId="14" xfId="0" applyFont="1" applyFill="1" applyBorder="1" applyAlignment="1">
      <alignment horizontal="center" vertical="center" wrapText="1"/>
    </xf>
    <xf numFmtId="0" fontId="22" fillId="21" borderId="14" xfId="0" applyFont="1" applyFill="1" applyBorder="1" applyAlignment="1">
      <alignment horizontal="left" wrapText="1" readingOrder="1"/>
    </xf>
    <xf numFmtId="9" fontId="21" fillId="3" borderId="14" xfId="1" applyFont="1" applyFill="1" applyBorder="1" applyAlignment="1">
      <alignment horizontal="center" vertical="center" wrapText="1" readingOrder="1"/>
    </xf>
    <xf numFmtId="0" fontId="66" fillId="21" borderId="14" xfId="0" applyFont="1" applyFill="1" applyBorder="1" applyAlignment="1">
      <alignment horizontal="center" wrapText="1"/>
    </xf>
    <xf numFmtId="0" fontId="66" fillId="21" borderId="14" xfId="0" applyFont="1" applyFill="1" applyBorder="1" applyAlignment="1">
      <alignment wrapText="1"/>
    </xf>
    <xf numFmtId="0" fontId="19" fillId="21" borderId="14" xfId="0" applyFont="1" applyFill="1" applyBorder="1" applyAlignment="1">
      <alignment horizontal="center" wrapText="1"/>
    </xf>
    <xf numFmtId="0" fontId="19" fillId="21" borderId="14" xfId="0" applyFont="1" applyFill="1" applyBorder="1" applyAlignment="1">
      <alignment wrapText="1"/>
    </xf>
    <xf numFmtId="0" fontId="19" fillId="21" borderId="14" xfId="0" applyFont="1" applyFill="1" applyBorder="1" applyAlignment="1">
      <alignment horizontal="center" vertical="center" wrapText="1"/>
    </xf>
    <xf numFmtId="0" fontId="20" fillId="28" borderId="14" xfId="0" applyFont="1" applyFill="1" applyBorder="1" applyAlignment="1">
      <alignment horizontal="left" vertical="center" wrapText="1" readingOrder="1"/>
    </xf>
    <xf numFmtId="0" fontId="9" fillId="21" borderId="3" xfId="0" applyFont="1" applyFill="1" applyBorder="1"/>
    <xf numFmtId="0" fontId="10" fillId="21" borderId="3" xfId="0" applyFont="1" applyFill="1" applyBorder="1"/>
    <xf numFmtId="164" fontId="4" fillId="21" borderId="3" xfId="1" applyNumberFormat="1" applyFont="1" applyFill="1" applyBorder="1" applyAlignment="1">
      <alignment horizontal="center"/>
    </xf>
    <xf numFmtId="164" fontId="3" fillId="21" borderId="3" xfId="1" applyNumberFormat="1" applyFont="1" applyFill="1" applyBorder="1" applyAlignment="1">
      <alignment horizontal="center" vertical="center"/>
    </xf>
    <xf numFmtId="3" fontId="4" fillId="21" borderId="3" xfId="0" applyNumberFormat="1" applyFont="1" applyFill="1" applyBorder="1" applyAlignment="1">
      <alignment horizontal="center"/>
    </xf>
    <xf numFmtId="164" fontId="4" fillId="21" borderId="3" xfId="1" applyNumberFormat="1" applyFont="1" applyFill="1" applyBorder="1"/>
    <xf numFmtId="1" fontId="4" fillId="21" borderId="3" xfId="0" applyNumberFormat="1" applyFont="1" applyFill="1" applyBorder="1" applyAlignment="1">
      <alignment horizontal="center"/>
    </xf>
    <xf numFmtId="0" fontId="12" fillId="21" borderId="3" xfId="0" applyFont="1" applyFill="1" applyBorder="1"/>
    <xf numFmtId="10" fontId="12" fillId="21" borderId="3" xfId="1" applyNumberFormat="1" applyFont="1" applyFill="1" applyBorder="1"/>
    <xf numFmtId="0" fontId="12" fillId="21" borderId="3" xfId="1" applyNumberFormat="1" applyFont="1" applyFill="1" applyBorder="1" applyAlignment="1">
      <alignment horizontal="center"/>
    </xf>
    <xf numFmtId="10" fontId="12" fillId="21" borderId="3" xfId="1" applyNumberFormat="1" applyFont="1" applyFill="1" applyBorder="1" applyAlignment="1">
      <alignment horizontal="center"/>
    </xf>
    <xf numFmtId="10" fontId="8" fillId="21" borderId="3" xfId="1" applyNumberFormat="1" applyFont="1" applyFill="1" applyBorder="1" applyAlignment="1">
      <alignment horizontal="center" vertical="center"/>
    </xf>
    <xf numFmtId="0" fontId="4" fillId="21" borderId="3" xfId="1" applyNumberFormat="1" applyFont="1" applyFill="1" applyBorder="1" applyAlignment="1">
      <alignment horizontal="center"/>
    </xf>
    <xf numFmtId="0" fontId="61" fillId="21" borderId="38" xfId="0" applyFont="1" applyFill="1" applyBorder="1" applyAlignment="1">
      <alignment vertical="center"/>
    </xf>
    <xf numFmtId="1" fontId="60" fillId="21" borderId="3" xfId="1" applyNumberFormat="1" applyFont="1" applyFill="1" applyBorder="1" applyAlignment="1">
      <alignment horizontal="center" vertical="center"/>
    </xf>
    <xf numFmtId="168" fontId="60" fillId="21" borderId="1" xfId="3" applyFont="1" applyFill="1" applyBorder="1" applyAlignment="1">
      <alignment horizontal="center" vertical="center"/>
    </xf>
    <xf numFmtId="2" fontId="60" fillId="21" borderId="1" xfId="3" applyNumberFormat="1" applyFont="1" applyFill="1" applyBorder="1" applyAlignment="1">
      <alignment horizontal="center" vertical="center"/>
    </xf>
    <xf numFmtId="0" fontId="61" fillId="21" borderId="38" xfId="0" applyFont="1" applyFill="1" applyBorder="1"/>
    <xf numFmtId="0" fontId="0" fillId="21" borderId="3" xfId="0" applyFill="1" applyBorder="1"/>
    <xf numFmtId="0" fontId="25" fillId="21" borderId="3" xfId="0" applyFont="1" applyFill="1" applyBorder="1"/>
    <xf numFmtId="3" fontId="25" fillId="21" borderId="3" xfId="1" applyNumberFormat="1" applyFont="1" applyFill="1" applyBorder="1" applyAlignment="1">
      <alignment horizontal="center" vertical="center"/>
    </xf>
    <xf numFmtId="164" fontId="0" fillId="21" borderId="3" xfId="1" applyNumberFormat="1" applyFont="1" applyFill="1" applyBorder="1" applyAlignment="1">
      <alignment horizontal="center" vertical="center"/>
    </xf>
    <xf numFmtId="0" fontId="25" fillId="21" borderId="3" xfId="0" applyFont="1" applyFill="1" applyBorder="1" applyAlignment="1">
      <alignment horizontal="center" vertical="center"/>
    </xf>
    <xf numFmtId="9" fontId="0" fillId="21" borderId="3" xfId="1" applyFont="1" applyFill="1" applyBorder="1" applyAlignment="1">
      <alignment horizontal="center" vertical="center"/>
    </xf>
    <xf numFmtId="1" fontId="0" fillId="21" borderId="3" xfId="1" applyNumberFormat="1" applyFont="1" applyFill="1" applyBorder="1" applyAlignment="1">
      <alignment horizontal="center" vertical="center"/>
    </xf>
    <xf numFmtId="164" fontId="3" fillId="29" borderId="3" xfId="1" applyNumberFormat="1" applyFont="1" applyFill="1" applyBorder="1" applyAlignment="1">
      <alignment horizontal="center" vertical="center"/>
    </xf>
    <xf numFmtId="1" fontId="3" fillId="29" borderId="3" xfId="1" applyNumberFormat="1" applyFont="1" applyFill="1" applyBorder="1" applyAlignment="1">
      <alignment horizontal="center" vertical="center"/>
    </xf>
    <xf numFmtId="10" fontId="2" fillId="2" borderId="3" xfId="1" applyNumberFormat="1" applyFont="1" applyFill="1" applyBorder="1" applyAlignment="1">
      <alignment horizontal="center" vertical="center" wrapText="1"/>
    </xf>
    <xf numFmtId="0" fontId="14" fillId="9" borderId="11" xfId="0" applyFont="1" applyFill="1" applyBorder="1" applyAlignment="1">
      <alignment horizontal="center" vertical="center" wrapText="1"/>
    </xf>
    <xf numFmtId="10" fontId="14" fillId="2" borderId="3" xfId="1" applyNumberFormat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/>
    </xf>
    <xf numFmtId="164" fontId="9" fillId="3" borderId="3" xfId="1" applyNumberFormat="1" applyFont="1" applyFill="1" applyBorder="1" applyAlignment="1">
      <alignment horizontal="center"/>
    </xf>
    <xf numFmtId="164" fontId="9" fillId="29" borderId="3" xfId="1" applyNumberFormat="1" applyFont="1" applyFill="1" applyBorder="1" applyAlignment="1">
      <alignment horizontal="center" vertical="center"/>
    </xf>
    <xf numFmtId="1" fontId="9" fillId="29" borderId="3" xfId="1" applyNumberFormat="1" applyFont="1" applyFill="1" applyBorder="1" applyAlignment="1">
      <alignment horizontal="center" vertical="center"/>
    </xf>
    <xf numFmtId="9" fontId="9" fillId="29" borderId="3" xfId="1" applyFont="1" applyFill="1" applyBorder="1" applyAlignment="1">
      <alignment horizontal="center" vertical="center"/>
    </xf>
    <xf numFmtId="164" fontId="9" fillId="23" borderId="3" xfId="1" applyNumberFormat="1" applyFont="1" applyFill="1" applyBorder="1" applyAlignment="1">
      <alignment horizontal="center" vertical="center"/>
    </xf>
    <xf numFmtId="1" fontId="9" fillId="10" borderId="3" xfId="1" applyNumberFormat="1" applyFont="1" applyFill="1" applyBorder="1" applyAlignment="1">
      <alignment horizontal="center" vertical="center"/>
    </xf>
    <xf numFmtId="9" fontId="9" fillId="30" borderId="3" xfId="0" applyNumberFormat="1" applyFont="1" applyFill="1" applyBorder="1" applyAlignment="1">
      <alignment horizontal="center" vertical="center"/>
    </xf>
    <xf numFmtId="1" fontId="60" fillId="29" borderId="3" xfId="1" applyNumberFormat="1" applyFont="1" applyFill="1" applyBorder="1" applyAlignment="1">
      <alignment horizontal="center" vertical="center"/>
    </xf>
    <xf numFmtId="1" fontId="59" fillId="29" borderId="3" xfId="1" applyNumberFormat="1" applyFont="1" applyFill="1" applyBorder="1" applyAlignment="1">
      <alignment horizontal="center" vertical="center"/>
    </xf>
    <xf numFmtId="3" fontId="10" fillId="21" borderId="3" xfId="1" applyNumberFormat="1" applyFont="1" applyFill="1" applyBorder="1" applyAlignment="1">
      <alignment horizontal="center" vertical="center"/>
    </xf>
    <xf numFmtId="164" fontId="10" fillId="21" borderId="3" xfId="1" applyNumberFormat="1" applyFont="1" applyFill="1" applyBorder="1" applyAlignment="1">
      <alignment horizontal="center"/>
    </xf>
    <xf numFmtId="164" fontId="9" fillId="21" borderId="3" xfId="1" applyNumberFormat="1" applyFont="1" applyFill="1" applyBorder="1" applyAlignment="1">
      <alignment horizontal="center" vertical="center"/>
    </xf>
    <xf numFmtId="1" fontId="9" fillId="21" borderId="3" xfId="1" applyNumberFormat="1" applyFont="1" applyFill="1" applyBorder="1" applyAlignment="1">
      <alignment horizontal="center" vertical="center"/>
    </xf>
    <xf numFmtId="1" fontId="10" fillId="21" borderId="3" xfId="1" applyNumberFormat="1" applyFont="1" applyFill="1" applyBorder="1" applyAlignment="1">
      <alignment horizontal="center" vertical="center"/>
    </xf>
    <xf numFmtId="164" fontId="0" fillId="30" borderId="0" xfId="0" applyNumberFormat="1" applyFill="1"/>
    <xf numFmtId="0" fontId="10" fillId="21" borderId="0" xfId="0" applyFont="1" applyFill="1"/>
    <xf numFmtId="0" fontId="10" fillId="21" borderId="0" xfId="0" applyFont="1" applyFill="1" applyAlignment="1">
      <alignment horizontal="center" vertical="center"/>
    </xf>
    <xf numFmtId="164" fontId="10" fillId="21" borderId="0" xfId="1" applyNumberFormat="1" applyFont="1" applyFill="1" applyBorder="1" applyAlignment="1">
      <alignment horizontal="center" vertical="center"/>
    </xf>
    <xf numFmtId="1" fontId="10" fillId="21" borderId="0" xfId="0" applyNumberFormat="1" applyFont="1" applyFill="1" applyAlignment="1">
      <alignment horizontal="center" vertical="center"/>
    </xf>
    <xf numFmtId="0" fontId="9" fillId="21" borderId="0" xfId="0" applyFont="1" applyFill="1"/>
    <xf numFmtId="164" fontId="9" fillId="21" borderId="0" xfId="1" applyNumberFormat="1" applyFont="1" applyFill="1" applyBorder="1" applyAlignment="1">
      <alignment horizontal="center" vertical="center"/>
    </xf>
    <xf numFmtId="2" fontId="28" fillId="30" borderId="3" xfId="1" applyNumberFormat="1" applyFont="1" applyFill="1" applyBorder="1" applyAlignment="1">
      <alignment horizontal="center" vertical="center"/>
    </xf>
    <xf numFmtId="0" fontId="41" fillId="2" borderId="3" xfId="0" applyFont="1" applyFill="1" applyBorder="1" applyAlignment="1">
      <alignment horizontal="center" vertical="center" wrapText="1"/>
    </xf>
    <xf numFmtId="0" fontId="41" fillId="2" borderId="9" xfId="0" applyFont="1" applyFill="1" applyBorder="1" applyAlignment="1">
      <alignment horizontal="center" vertical="center"/>
    </xf>
    <xf numFmtId="9" fontId="41" fillId="2" borderId="1" xfId="1" applyFont="1" applyFill="1" applyBorder="1" applyAlignment="1">
      <alignment horizontal="center" vertical="center"/>
    </xf>
    <xf numFmtId="0" fontId="41" fillId="2" borderId="3" xfId="0" applyFont="1" applyFill="1" applyBorder="1" applyAlignment="1">
      <alignment horizontal="center" vertical="center"/>
    </xf>
    <xf numFmtId="164" fontId="9" fillId="3" borderId="3" xfId="1" applyNumberFormat="1" applyFont="1" applyFill="1" applyBorder="1" applyAlignment="1">
      <alignment horizontal="right"/>
    </xf>
    <xf numFmtId="164" fontId="9" fillId="8" borderId="3" xfId="1" applyNumberFormat="1" applyFont="1" applyFill="1" applyBorder="1" applyAlignment="1">
      <alignment horizontal="center" vertical="center"/>
    </xf>
    <xf numFmtId="164" fontId="9" fillId="30" borderId="3" xfId="1" applyNumberFormat="1" applyFont="1" applyFill="1" applyBorder="1" applyAlignment="1">
      <alignment horizontal="center" vertical="center"/>
    </xf>
    <xf numFmtId="3" fontId="10" fillId="21" borderId="3" xfId="0" applyNumberFormat="1" applyFont="1" applyFill="1" applyBorder="1" applyAlignment="1">
      <alignment horizontal="center"/>
    </xf>
    <xf numFmtId="164" fontId="10" fillId="21" borderId="3" xfId="1" applyNumberFormat="1" applyFont="1" applyFill="1" applyBorder="1"/>
    <xf numFmtId="9" fontId="0" fillId="0" borderId="0" xfId="0" applyNumberFormat="1"/>
    <xf numFmtId="9" fontId="0" fillId="3" borderId="3" xfId="1" applyFont="1" applyFill="1" applyBorder="1" applyAlignment="1">
      <alignment horizontal="center" vertical="center"/>
    </xf>
    <xf numFmtId="3" fontId="0" fillId="29" borderId="3" xfId="1" applyNumberFormat="1" applyFont="1" applyFill="1" applyBorder="1" applyAlignment="1">
      <alignment horizontal="center" vertical="center"/>
    </xf>
    <xf numFmtId="164" fontId="9" fillId="3" borderId="3" xfId="1" applyNumberFormat="1" applyFont="1" applyFill="1" applyBorder="1" applyAlignment="1">
      <alignment horizontal="center" vertical="center"/>
    </xf>
    <xf numFmtId="1" fontId="60" fillId="3" borderId="3" xfId="1" applyNumberFormat="1" applyFont="1" applyFill="1" applyBorder="1" applyAlignment="1">
      <alignment horizontal="center" vertical="center"/>
    </xf>
    <xf numFmtId="2" fontId="60" fillId="3" borderId="3" xfId="1" applyNumberFormat="1" applyFont="1" applyFill="1" applyBorder="1" applyAlignment="1">
      <alignment horizontal="center" vertical="center"/>
    </xf>
    <xf numFmtId="167" fontId="60" fillId="3" borderId="3" xfId="1" applyNumberFormat="1" applyFont="1" applyFill="1" applyBorder="1" applyAlignment="1">
      <alignment horizontal="center" vertical="center"/>
    </xf>
    <xf numFmtId="166" fontId="60" fillId="3" borderId="3" xfId="1" applyNumberFormat="1" applyFont="1" applyFill="1" applyBorder="1" applyAlignment="1">
      <alignment horizontal="center" vertical="center"/>
    </xf>
    <xf numFmtId="168" fontId="60" fillId="3" borderId="3" xfId="3" applyFont="1" applyFill="1" applyBorder="1" applyAlignment="1">
      <alignment horizontal="center" vertical="center"/>
    </xf>
    <xf numFmtId="0" fontId="60" fillId="3" borderId="8" xfId="0" applyFont="1" applyFill="1" applyBorder="1" applyAlignment="1">
      <alignment horizontal="center" vertical="center"/>
    </xf>
    <xf numFmtId="0" fontId="60" fillId="3" borderId="0" xfId="0" applyFont="1" applyFill="1" applyAlignment="1">
      <alignment horizontal="center" vertical="center"/>
    </xf>
    <xf numFmtId="1" fontId="60" fillId="3" borderId="10" xfId="1" applyNumberFormat="1" applyFont="1" applyFill="1" applyBorder="1" applyAlignment="1">
      <alignment horizontal="center" vertical="center"/>
    </xf>
    <xf numFmtId="164" fontId="9" fillId="3" borderId="8" xfId="1" applyNumberFormat="1" applyFont="1" applyFill="1" applyBorder="1" applyAlignment="1">
      <alignment horizontal="center" vertical="center"/>
    </xf>
    <xf numFmtId="1" fontId="60" fillId="3" borderId="8" xfId="1" applyNumberFormat="1" applyFont="1" applyFill="1" applyBorder="1" applyAlignment="1">
      <alignment horizontal="center" vertical="center"/>
    </xf>
    <xf numFmtId="166" fontId="60" fillId="3" borderId="8" xfId="1" applyNumberFormat="1" applyFont="1" applyFill="1" applyBorder="1" applyAlignment="1">
      <alignment horizontal="center" vertical="center"/>
    </xf>
    <xf numFmtId="164" fontId="9" fillId="3" borderId="38" xfId="1" applyNumberFormat="1" applyFont="1" applyFill="1" applyBorder="1" applyAlignment="1">
      <alignment horizontal="center" vertical="center"/>
    </xf>
    <xf numFmtId="1" fontId="60" fillId="3" borderId="9" xfId="1" applyNumberFormat="1" applyFont="1" applyFill="1" applyBorder="1" applyAlignment="1">
      <alignment horizontal="center" vertical="center"/>
    </xf>
    <xf numFmtId="166" fontId="60" fillId="3" borderId="9" xfId="1" applyNumberFormat="1" applyFont="1" applyFill="1" applyBorder="1" applyAlignment="1">
      <alignment horizontal="center" vertical="center"/>
    </xf>
    <xf numFmtId="1" fontId="60" fillId="3" borderId="39" xfId="1" applyNumberFormat="1" applyFont="1" applyFill="1" applyBorder="1" applyAlignment="1">
      <alignment horizontal="center" vertical="center"/>
    </xf>
    <xf numFmtId="2" fontId="60" fillId="3" borderId="8" xfId="1" applyNumberFormat="1" applyFont="1" applyFill="1" applyBorder="1" applyAlignment="1">
      <alignment horizontal="center" vertical="center"/>
    </xf>
    <xf numFmtId="167" fontId="60" fillId="3" borderId="8" xfId="1" applyNumberFormat="1" applyFont="1" applyFill="1" applyBorder="1" applyAlignment="1">
      <alignment horizontal="center" vertical="center"/>
    </xf>
    <xf numFmtId="1" fontId="60" fillId="3" borderId="13" xfId="1" applyNumberFormat="1" applyFont="1" applyFill="1" applyBorder="1" applyAlignment="1">
      <alignment horizontal="center" vertical="center"/>
    </xf>
    <xf numFmtId="2" fontId="60" fillId="3" borderId="9" xfId="1" applyNumberFormat="1" applyFont="1" applyFill="1" applyBorder="1" applyAlignment="1">
      <alignment horizontal="center" vertical="center"/>
    </xf>
    <xf numFmtId="167" fontId="60" fillId="3" borderId="9" xfId="1" applyNumberFormat="1" applyFont="1" applyFill="1" applyBorder="1" applyAlignment="1">
      <alignment horizontal="center" vertical="center"/>
    </xf>
    <xf numFmtId="0" fontId="10" fillId="0" borderId="24" xfId="0" applyFont="1" applyBorder="1"/>
    <xf numFmtId="9" fontId="10" fillId="0" borderId="24" xfId="1" applyFont="1" applyFill="1" applyBorder="1"/>
    <xf numFmtId="0" fontId="10" fillId="0" borderId="28" xfId="0" applyFont="1" applyBorder="1" applyAlignment="1">
      <alignment horizontal="right"/>
    </xf>
    <xf numFmtId="1" fontId="10" fillId="0" borderId="28" xfId="0" applyNumberFormat="1" applyFont="1" applyBorder="1"/>
    <xf numFmtId="0" fontId="10" fillId="0" borderId="28" xfId="0" applyFont="1" applyBorder="1"/>
    <xf numFmtId="1" fontId="10" fillId="21" borderId="0" xfId="0" applyNumberFormat="1" applyFont="1" applyFill="1"/>
    <xf numFmtId="164" fontId="10" fillId="21" borderId="0" xfId="1" applyNumberFormat="1" applyFont="1" applyFill="1" applyBorder="1"/>
    <xf numFmtId="9" fontId="28" fillId="21" borderId="0" xfId="1" applyFont="1" applyFill="1" applyBorder="1"/>
    <xf numFmtId="1" fontId="10" fillId="21" borderId="0" xfId="0" applyNumberFormat="1" applyFont="1" applyFill="1" applyAlignment="1">
      <alignment wrapText="1"/>
    </xf>
    <xf numFmtId="9" fontId="68" fillId="21" borderId="0" xfId="1" applyFont="1" applyFill="1" applyBorder="1"/>
    <xf numFmtId="164" fontId="69" fillId="21" borderId="0" xfId="0" applyNumberFormat="1" applyFont="1" applyFill="1"/>
    <xf numFmtId="3" fontId="10" fillId="21" borderId="0" xfId="0" applyNumberFormat="1" applyFont="1" applyFill="1"/>
    <xf numFmtId="165" fontId="28" fillId="21" borderId="0" xfId="1" applyNumberFormat="1" applyFont="1" applyFill="1" applyBorder="1"/>
    <xf numFmtId="164" fontId="10" fillId="21" borderId="0" xfId="1" applyNumberFormat="1" applyFont="1" applyFill="1" applyBorder="1" applyAlignment="1">
      <alignment horizontal="right"/>
    </xf>
    <xf numFmtId="0" fontId="70" fillId="21" borderId="0" xfId="0" applyFont="1" applyFill="1" applyAlignment="1">
      <alignment horizontal="right"/>
    </xf>
    <xf numFmtId="0" fontId="10" fillId="3" borderId="0" xfId="0" applyFont="1" applyFill="1"/>
    <xf numFmtId="164" fontId="10" fillId="3" borderId="0" xfId="1" applyNumberFormat="1" applyFont="1" applyFill="1" applyBorder="1"/>
    <xf numFmtId="3" fontId="10" fillId="3" borderId="0" xfId="0" applyNumberFormat="1" applyFont="1" applyFill="1"/>
    <xf numFmtId="166" fontId="28" fillId="30" borderId="0" xfId="1" applyNumberFormat="1" applyFont="1" applyFill="1"/>
    <xf numFmtId="1" fontId="9" fillId="0" borderId="0" xfId="0" applyNumberFormat="1" applyFont="1"/>
    <xf numFmtId="166" fontId="28" fillId="30" borderId="0" xfId="0" applyNumberFormat="1" applyFont="1" applyFill="1"/>
    <xf numFmtId="165" fontId="28" fillId="21" borderId="0" xfId="0" applyNumberFormat="1" applyFont="1" applyFill="1"/>
    <xf numFmtId="164" fontId="10" fillId="21" borderId="0" xfId="1" applyNumberFormat="1" applyFont="1" applyFill="1"/>
    <xf numFmtId="166" fontId="68" fillId="21" borderId="0" xfId="0" applyNumberFormat="1" applyFont="1" applyFill="1" applyAlignment="1">
      <alignment horizontal="right"/>
    </xf>
    <xf numFmtId="166" fontId="68" fillId="0" borderId="0" xfId="1" applyNumberFormat="1" applyFont="1" applyFill="1"/>
    <xf numFmtId="166" fontId="68" fillId="0" borderId="0" xfId="0" applyNumberFormat="1" applyFont="1"/>
    <xf numFmtId="166" fontId="72" fillId="0" borderId="0" xfId="0" applyNumberFormat="1" applyFont="1"/>
    <xf numFmtId="166" fontId="68" fillId="0" borderId="0" xfId="0" applyNumberFormat="1" applyFont="1" applyAlignment="1">
      <alignment horizontal="right"/>
    </xf>
    <xf numFmtId="0" fontId="28" fillId="21" borderId="0" xfId="0" applyFont="1" applyFill="1"/>
    <xf numFmtId="0" fontId="28" fillId="3" borderId="0" xfId="0" applyFont="1" applyFill="1"/>
    <xf numFmtId="9" fontId="28" fillId="29" borderId="0" xfId="1" applyFont="1" applyFill="1" applyBorder="1"/>
    <xf numFmtId="1" fontId="10" fillId="29" borderId="0" xfId="0" applyNumberFormat="1" applyFont="1" applyFill="1"/>
    <xf numFmtId="165" fontId="28" fillId="29" borderId="0" xfId="0" applyNumberFormat="1" applyFont="1" applyFill="1"/>
    <xf numFmtId="164" fontId="10" fillId="29" borderId="0" xfId="1" applyNumberFormat="1" applyFont="1" applyFill="1"/>
    <xf numFmtId="165" fontId="10" fillId="29" borderId="0" xfId="0" applyNumberFormat="1" applyFont="1" applyFill="1"/>
    <xf numFmtId="0" fontId="2" fillId="15" borderId="3" xfId="0" applyFont="1" applyFill="1" applyBorder="1" applyAlignment="1">
      <alignment horizontal="center" vertical="center" wrapText="1"/>
    </xf>
    <xf numFmtId="0" fontId="24" fillId="15" borderId="8" xfId="0" applyFont="1" applyFill="1" applyBorder="1" applyAlignment="1">
      <alignment horizontal="center" vertical="center" wrapText="1"/>
    </xf>
    <xf numFmtId="0" fontId="41" fillId="2" borderId="11" xfId="0" applyFont="1" applyFill="1" applyBorder="1" applyAlignment="1">
      <alignment horizontal="center" vertical="center"/>
    </xf>
    <xf numFmtId="0" fontId="41" fillId="2" borderId="3" xfId="0" applyFont="1" applyFill="1" applyBorder="1" applyAlignment="1">
      <alignment vertical="center"/>
    </xf>
    <xf numFmtId="0" fontId="14" fillId="2" borderId="28" xfId="0" applyFont="1" applyFill="1" applyBorder="1"/>
    <xf numFmtId="0" fontId="9" fillId="3" borderId="0" xfId="0" applyFont="1" applyFill="1"/>
    <xf numFmtId="164" fontId="9" fillId="3" borderId="0" xfId="1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164" fontId="59" fillId="3" borderId="0" xfId="1" applyNumberFormat="1" applyFont="1" applyFill="1" applyBorder="1" applyAlignment="1">
      <alignment horizontal="center" vertical="center"/>
    </xf>
    <xf numFmtId="164" fontId="9" fillId="29" borderId="0" xfId="1" applyNumberFormat="1" applyFont="1" applyFill="1" applyBorder="1" applyAlignment="1">
      <alignment horizontal="center" vertical="center"/>
    </xf>
    <xf numFmtId="1" fontId="9" fillId="29" borderId="0" xfId="0" applyNumberFormat="1" applyFont="1" applyFill="1" applyAlignment="1">
      <alignment horizontal="center" vertical="center"/>
    </xf>
    <xf numFmtId="0" fontId="9" fillId="29" borderId="0" xfId="0" applyFont="1" applyFill="1" applyAlignment="1">
      <alignment horizontal="center" vertical="center"/>
    </xf>
    <xf numFmtId="0" fontId="60" fillId="21" borderId="0" xfId="0" applyFont="1" applyFill="1"/>
    <xf numFmtId="0" fontId="60" fillId="21" borderId="0" xfId="0" applyFont="1" applyFill="1" applyAlignment="1">
      <alignment horizontal="center" vertical="center"/>
    </xf>
    <xf numFmtId="164" fontId="60" fillId="21" borderId="0" xfId="1" applyNumberFormat="1" applyFont="1" applyFill="1" applyBorder="1" applyAlignment="1">
      <alignment horizontal="center" vertical="center"/>
    </xf>
    <xf numFmtId="1" fontId="60" fillId="21" borderId="0" xfId="0" applyNumberFormat="1" applyFont="1" applyFill="1" applyAlignment="1">
      <alignment horizontal="center" vertical="center"/>
    </xf>
    <xf numFmtId="164" fontId="34" fillId="21" borderId="0" xfId="1" applyNumberFormat="1" applyFont="1" applyFill="1" applyBorder="1" applyAlignment="1">
      <alignment horizontal="center" vertical="center"/>
    </xf>
    <xf numFmtId="1" fontId="10" fillId="0" borderId="24" xfId="1" applyNumberFormat="1" applyFont="1" applyFill="1" applyBorder="1" applyAlignment="1"/>
    <xf numFmtId="9" fontId="10" fillId="0" borderId="24" xfId="1" applyFont="1" applyFill="1" applyBorder="1" applyAlignment="1"/>
    <xf numFmtId="0" fontId="10" fillId="0" borderId="28" xfId="0" applyFont="1" applyBorder="1" applyAlignment="1">
      <alignment horizontal="center"/>
    </xf>
    <xf numFmtId="9" fontId="10" fillId="21" borderId="0" xfId="1" applyFont="1" applyFill="1" applyBorder="1"/>
    <xf numFmtId="165" fontId="10" fillId="21" borderId="0" xfId="0" applyNumberFormat="1" applyFont="1" applyFill="1"/>
    <xf numFmtId="0" fontId="73" fillId="21" borderId="0" xfId="0" applyFont="1" applyFill="1"/>
    <xf numFmtId="0" fontId="28" fillId="30" borderId="0" xfId="0" applyFont="1" applyFill="1"/>
    <xf numFmtId="166" fontId="73" fillId="21" borderId="0" xfId="0" applyNumberFormat="1" applyFont="1" applyFill="1"/>
    <xf numFmtId="164" fontId="28" fillId="3" borderId="0" xfId="1" applyNumberFormat="1" applyFont="1" applyFill="1" applyBorder="1"/>
    <xf numFmtId="3" fontId="28" fillId="3" borderId="0" xfId="0" applyNumberFormat="1" applyFont="1" applyFill="1"/>
    <xf numFmtId="9" fontId="10" fillId="29" borderId="0" xfId="1" applyFont="1" applyFill="1" applyBorder="1"/>
    <xf numFmtId="0" fontId="32" fillId="0" borderId="0" xfId="0" applyFont="1"/>
    <xf numFmtId="164" fontId="32" fillId="0" borderId="0" xfId="1" applyNumberFormat="1" applyFont="1" applyBorder="1" applyAlignment="1">
      <alignment horizontal="center"/>
    </xf>
    <xf numFmtId="164" fontId="0" fillId="30" borderId="0" xfId="1" applyNumberFormat="1" applyFont="1" applyFill="1"/>
    <xf numFmtId="0" fontId="41" fillId="12" borderId="3" xfId="2" applyFont="1" applyFill="1" applyBorder="1" applyAlignment="1">
      <alignment horizontal="center"/>
    </xf>
    <xf numFmtId="0" fontId="41" fillId="12" borderId="3" xfId="2" applyFont="1" applyFill="1" applyBorder="1" applyAlignment="1">
      <alignment horizontal="center" vertical="center" wrapText="1"/>
    </xf>
    <xf numFmtId="164" fontId="10" fillId="3" borderId="3" xfId="1" applyNumberFormat="1" applyFont="1" applyFill="1" applyBorder="1" applyAlignment="1">
      <alignment horizontal="center"/>
    </xf>
    <xf numFmtId="164" fontId="72" fillId="3" borderId="3" xfId="0" applyNumberFormat="1" applyFont="1" applyFill="1" applyBorder="1" applyAlignment="1">
      <alignment horizontal="center"/>
    </xf>
    <xf numFmtId="1" fontId="9" fillId="3" borderId="3" xfId="0" applyNumberFormat="1" applyFont="1" applyFill="1" applyBorder="1" applyAlignment="1">
      <alignment horizontal="center"/>
    </xf>
    <xf numFmtId="164" fontId="10" fillId="3" borderId="8" xfId="1" applyNumberFormat="1" applyFont="1" applyFill="1" applyBorder="1" applyAlignment="1">
      <alignment horizontal="center"/>
    </xf>
    <xf numFmtId="164" fontId="72" fillId="3" borderId="8" xfId="0" applyNumberFormat="1" applyFont="1" applyFill="1" applyBorder="1" applyAlignment="1">
      <alignment horizontal="center"/>
    </xf>
    <xf numFmtId="0" fontId="9" fillId="3" borderId="8" xfId="0" applyFont="1" applyFill="1" applyBorder="1" applyAlignment="1">
      <alignment horizontal="center"/>
    </xf>
    <xf numFmtId="1" fontId="9" fillId="3" borderId="8" xfId="0" applyNumberFormat="1" applyFont="1" applyFill="1" applyBorder="1" applyAlignment="1">
      <alignment horizontal="center"/>
    </xf>
    <xf numFmtId="164" fontId="72" fillId="29" borderId="3" xfId="0" applyNumberFormat="1" applyFont="1" applyFill="1" applyBorder="1" applyAlignment="1">
      <alignment horizontal="center"/>
    </xf>
    <xf numFmtId="164" fontId="72" fillId="29" borderId="8" xfId="0" applyNumberFormat="1" applyFont="1" applyFill="1" applyBorder="1" applyAlignment="1">
      <alignment horizontal="center"/>
    </xf>
    <xf numFmtId="0" fontId="3" fillId="29" borderId="3" xfId="1" applyNumberFormat="1" applyFont="1" applyFill="1" applyBorder="1" applyAlignment="1">
      <alignment horizontal="center" vertical="center"/>
    </xf>
    <xf numFmtId="10" fontId="41" fillId="2" borderId="3" xfId="1" applyNumberFormat="1" applyFont="1" applyFill="1" applyBorder="1" applyAlignment="1">
      <alignment horizontal="center" vertical="center" wrapText="1"/>
    </xf>
    <xf numFmtId="3" fontId="9" fillId="3" borderId="3" xfId="1" applyNumberFormat="1" applyFont="1" applyFill="1" applyBorder="1" applyAlignment="1">
      <alignment horizontal="center" vertical="center"/>
    </xf>
    <xf numFmtId="164" fontId="9" fillId="3" borderId="3" xfId="1" applyNumberFormat="1" applyFont="1" applyFill="1" applyBorder="1"/>
    <xf numFmtId="1" fontId="9" fillId="31" borderId="3" xfId="1" applyNumberFormat="1" applyFont="1" applyFill="1" applyBorder="1" applyAlignment="1">
      <alignment horizontal="center" vertical="center"/>
    </xf>
    <xf numFmtId="3" fontId="9" fillId="31" borderId="3" xfId="1" applyNumberFormat="1" applyFont="1" applyFill="1" applyBorder="1" applyAlignment="1">
      <alignment horizontal="center" vertical="center"/>
    </xf>
    <xf numFmtId="3" fontId="9" fillId="21" borderId="3" xfId="1" applyNumberFormat="1" applyFont="1" applyFill="1" applyBorder="1" applyAlignment="1">
      <alignment horizontal="center" vertical="center"/>
    </xf>
    <xf numFmtId="0" fontId="9" fillId="0" borderId="34" xfId="0" applyFont="1" applyBorder="1"/>
    <xf numFmtId="0" fontId="75" fillId="0" borderId="34" xfId="0" applyFont="1" applyBorder="1"/>
    <xf numFmtId="0" fontId="9" fillId="0" borderId="46" xfId="0" applyFont="1" applyBorder="1"/>
    <xf numFmtId="0" fontId="9" fillId="0" borderId="47" xfId="0" applyFont="1" applyBorder="1"/>
    <xf numFmtId="0" fontId="10" fillId="30" borderId="42" xfId="0" applyFont="1" applyFill="1" applyBorder="1" applyAlignment="1">
      <alignment horizontal="center" vertical="center" textRotation="255" wrapText="1"/>
    </xf>
    <xf numFmtId="0" fontId="10" fillId="30" borderId="28" xfId="0" applyFont="1" applyFill="1" applyBorder="1" applyAlignment="1">
      <alignment horizontal="center" vertical="center" textRotation="255" wrapText="1"/>
    </xf>
    <xf numFmtId="1" fontId="10" fillId="30" borderId="28" xfId="0" applyNumberFormat="1" applyFont="1" applyFill="1" applyBorder="1"/>
    <xf numFmtId="0" fontId="9" fillId="30" borderId="28" xfId="0" applyFont="1" applyFill="1" applyBorder="1"/>
    <xf numFmtId="1" fontId="9" fillId="30" borderId="28" xfId="0" applyNumberFormat="1" applyFont="1" applyFill="1" applyBorder="1"/>
    <xf numFmtId="1" fontId="78" fillId="30" borderId="45" xfId="0" applyNumberFormat="1" applyFont="1" applyFill="1" applyBorder="1"/>
    <xf numFmtId="0" fontId="80" fillId="0" borderId="0" xfId="0" applyFont="1"/>
    <xf numFmtId="0" fontId="60" fillId="30" borderId="28" xfId="0" applyFont="1" applyFill="1" applyBorder="1"/>
    <xf numFmtId="0" fontId="80" fillId="30" borderId="28" xfId="0" applyFont="1" applyFill="1" applyBorder="1"/>
    <xf numFmtId="0" fontId="10" fillId="30" borderId="47" xfId="0" applyFont="1" applyFill="1" applyBorder="1" applyAlignment="1">
      <alignment horizontal="center" vertical="center" textRotation="255" wrapText="1"/>
    </xf>
    <xf numFmtId="1" fontId="10" fillId="30" borderId="47" xfId="0" applyNumberFormat="1" applyFont="1" applyFill="1" applyBorder="1"/>
    <xf numFmtId="0" fontId="80" fillId="30" borderId="47" xfId="0" applyFont="1" applyFill="1" applyBorder="1"/>
    <xf numFmtId="1" fontId="9" fillId="30" borderId="47" xfId="0" applyNumberFormat="1" applyFont="1" applyFill="1" applyBorder="1"/>
    <xf numFmtId="1" fontId="78" fillId="30" borderId="48" xfId="0" applyNumberFormat="1" applyFont="1" applyFill="1" applyBorder="1"/>
    <xf numFmtId="0" fontId="10" fillId="29" borderId="42" xfId="0" applyFont="1" applyFill="1" applyBorder="1" applyAlignment="1">
      <alignment horizontal="center" vertical="center" textRotation="255"/>
    </xf>
    <xf numFmtId="1" fontId="10" fillId="29" borderId="42" xfId="0" applyNumberFormat="1" applyFont="1" applyFill="1" applyBorder="1"/>
    <xf numFmtId="0" fontId="9" fillId="29" borderId="42" xfId="0" applyFont="1" applyFill="1" applyBorder="1"/>
    <xf numFmtId="1" fontId="9" fillId="29" borderId="42" xfId="0" applyNumberFormat="1" applyFont="1" applyFill="1" applyBorder="1"/>
    <xf numFmtId="1" fontId="78" fillId="29" borderId="43" xfId="0" applyNumberFormat="1" applyFont="1" applyFill="1" applyBorder="1"/>
    <xf numFmtId="0" fontId="10" fillId="29" borderId="28" xfId="0" applyFont="1" applyFill="1" applyBorder="1" applyAlignment="1">
      <alignment horizontal="center" vertical="center" textRotation="255"/>
    </xf>
    <xf numFmtId="1" fontId="10" fillId="29" borderId="28" xfId="0" applyNumberFormat="1" applyFont="1" applyFill="1" applyBorder="1"/>
    <xf numFmtId="0" fontId="9" fillId="29" borderId="28" xfId="0" applyFont="1" applyFill="1" applyBorder="1"/>
    <xf numFmtId="1" fontId="9" fillId="29" borderId="28" xfId="0" applyNumberFormat="1" applyFont="1" applyFill="1" applyBorder="1"/>
    <xf numFmtId="1" fontId="78" fillId="29" borderId="45" xfId="0" applyNumberFormat="1" applyFont="1" applyFill="1" applyBorder="1"/>
    <xf numFmtId="0" fontId="60" fillId="29" borderId="28" xfId="0" applyFont="1" applyFill="1" applyBorder="1"/>
    <xf numFmtId="0" fontId="10" fillId="29" borderId="47" xfId="0" applyFont="1" applyFill="1" applyBorder="1" applyAlignment="1">
      <alignment horizontal="center" vertical="center" textRotation="255"/>
    </xf>
    <xf numFmtId="1" fontId="10" fillId="29" borderId="47" xfId="0" applyNumberFormat="1" applyFont="1" applyFill="1" applyBorder="1"/>
    <xf numFmtId="0" fontId="9" fillId="29" borderId="47" xfId="0" applyFont="1" applyFill="1" applyBorder="1"/>
    <xf numFmtId="1" fontId="9" fillId="29" borderId="47" xfId="0" applyNumberFormat="1" applyFont="1" applyFill="1" applyBorder="1"/>
    <xf numFmtId="1" fontId="78" fillId="29" borderId="48" xfId="0" applyNumberFormat="1" applyFont="1" applyFill="1" applyBorder="1"/>
    <xf numFmtId="0" fontId="10" fillId="32" borderId="42" xfId="0" applyFont="1" applyFill="1" applyBorder="1" applyAlignment="1">
      <alignment horizontal="center" vertical="center" textRotation="255"/>
    </xf>
    <xf numFmtId="1" fontId="10" fillId="32" borderId="42" xfId="0" applyNumberFormat="1" applyFont="1" applyFill="1" applyBorder="1"/>
    <xf numFmtId="0" fontId="9" fillId="32" borderId="42" xfId="0" applyFont="1" applyFill="1" applyBorder="1"/>
    <xf numFmtId="1" fontId="9" fillId="32" borderId="42" xfId="0" applyNumberFormat="1" applyFont="1" applyFill="1" applyBorder="1"/>
    <xf numFmtId="1" fontId="78" fillId="32" borderId="43" xfId="0" applyNumberFormat="1" applyFont="1" applyFill="1" applyBorder="1"/>
    <xf numFmtId="0" fontId="10" fillId="32" borderId="28" xfId="0" applyFont="1" applyFill="1" applyBorder="1" applyAlignment="1">
      <alignment horizontal="center" vertical="center" textRotation="255"/>
    </xf>
    <xf numFmtId="1" fontId="10" fillId="32" borderId="28" xfId="0" applyNumberFormat="1" applyFont="1" applyFill="1" applyBorder="1"/>
    <xf numFmtId="0" fontId="9" fillId="32" borderId="28" xfId="0" applyFont="1" applyFill="1" applyBorder="1"/>
    <xf numFmtId="1" fontId="9" fillId="32" borderId="28" xfId="0" applyNumberFormat="1" applyFont="1" applyFill="1" applyBorder="1"/>
    <xf numFmtId="1" fontId="78" fillId="32" borderId="45" xfId="0" applyNumberFormat="1" applyFont="1" applyFill="1" applyBorder="1"/>
    <xf numFmtId="0" fontId="60" fillId="32" borderId="28" xfId="0" applyFont="1" applyFill="1" applyBorder="1"/>
    <xf numFmtId="0" fontId="10" fillId="32" borderId="47" xfId="0" applyFont="1" applyFill="1" applyBorder="1" applyAlignment="1">
      <alignment horizontal="center" vertical="center" textRotation="255"/>
    </xf>
    <xf numFmtId="1" fontId="10" fillId="32" borderId="47" xfId="0" applyNumberFormat="1" applyFont="1" applyFill="1" applyBorder="1"/>
    <xf numFmtId="0" fontId="9" fillId="32" borderId="47" xfId="0" applyFont="1" applyFill="1" applyBorder="1"/>
    <xf numFmtId="1" fontId="9" fillId="32" borderId="47" xfId="0" applyNumberFormat="1" applyFont="1" applyFill="1" applyBorder="1"/>
    <xf numFmtId="1" fontId="78" fillId="32" borderId="48" xfId="0" applyNumberFormat="1" applyFont="1" applyFill="1" applyBorder="1"/>
    <xf numFmtId="1" fontId="10" fillId="0" borderId="0" xfId="0" applyNumberFormat="1" applyFont="1"/>
    <xf numFmtId="1" fontId="78" fillId="0" borderId="0" xfId="0" applyNumberFormat="1" applyFont="1"/>
    <xf numFmtId="0" fontId="75" fillId="0" borderId="0" xfId="0" applyFont="1"/>
    <xf numFmtId="9" fontId="14" fillId="2" borderId="3" xfId="1" applyFont="1" applyFill="1" applyBorder="1" applyAlignment="1">
      <alignment horizontal="center" vertical="center"/>
    </xf>
    <xf numFmtId="0" fontId="14" fillId="7" borderId="3" xfId="0" applyFont="1" applyFill="1" applyBorder="1" applyAlignment="1">
      <alignment horizontal="center" vertical="center" wrapText="1"/>
    </xf>
    <xf numFmtId="10" fontId="14" fillId="7" borderId="3" xfId="1" applyNumberFormat="1" applyFont="1" applyFill="1" applyBorder="1" applyAlignment="1">
      <alignment horizontal="center" vertical="center" wrapText="1"/>
    </xf>
    <xf numFmtId="0" fontId="14" fillId="9" borderId="3" xfId="0" applyFont="1" applyFill="1" applyBorder="1" applyAlignment="1">
      <alignment horizontal="center" vertical="center" wrapText="1"/>
    </xf>
    <xf numFmtId="1" fontId="9" fillId="8" borderId="3" xfId="1" applyNumberFormat="1" applyFont="1" applyFill="1" applyBorder="1" applyAlignment="1">
      <alignment horizontal="center" vertical="center"/>
    </xf>
    <xf numFmtId="164" fontId="9" fillId="10" borderId="3" xfId="1" applyNumberFormat="1" applyFont="1" applyFill="1" applyBorder="1" applyAlignment="1">
      <alignment horizontal="center" vertical="center"/>
    </xf>
    <xf numFmtId="1" fontId="9" fillId="13" borderId="3" xfId="1" applyNumberFormat="1" applyFont="1" applyFill="1" applyBorder="1" applyAlignment="1">
      <alignment horizontal="center" vertical="center"/>
    </xf>
    <xf numFmtId="3" fontId="9" fillId="30" borderId="3" xfId="1" applyNumberFormat="1" applyFont="1" applyFill="1" applyBorder="1" applyAlignment="1">
      <alignment horizontal="center" vertical="center"/>
    </xf>
    <xf numFmtId="10" fontId="9" fillId="0" borderId="0" xfId="1" applyNumberFormat="1" applyFont="1"/>
    <xf numFmtId="1" fontId="9" fillId="30" borderId="3" xfId="1" applyNumberFormat="1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/>
    </xf>
    <xf numFmtId="164" fontId="10" fillId="4" borderId="3" xfId="1" applyNumberFormat="1" applyFont="1" applyFill="1" applyBorder="1" applyAlignment="1">
      <alignment horizontal="center"/>
    </xf>
    <xf numFmtId="9" fontId="9" fillId="4" borderId="3" xfId="1" applyFont="1" applyFill="1" applyBorder="1" applyAlignment="1">
      <alignment horizontal="center" vertical="center"/>
    </xf>
    <xf numFmtId="164" fontId="9" fillId="4" borderId="3" xfId="1" applyNumberFormat="1" applyFont="1" applyFill="1" applyBorder="1" applyAlignment="1">
      <alignment horizontal="center" vertical="center"/>
    </xf>
    <xf numFmtId="164" fontId="9" fillId="4" borderId="0" xfId="1" applyNumberFormat="1" applyFont="1" applyFill="1" applyBorder="1" applyAlignment="1">
      <alignment horizontal="center" vertical="center"/>
    </xf>
    <xf numFmtId="9" fontId="9" fillId="21" borderId="3" xfId="1" applyFont="1" applyFill="1" applyBorder="1" applyAlignment="1">
      <alignment horizontal="center" vertical="center"/>
    </xf>
    <xf numFmtId="164" fontId="28" fillId="30" borderId="0" xfId="1" applyNumberFormat="1" applyFont="1" applyFill="1" applyBorder="1" applyAlignment="1">
      <alignment horizontal="center" vertical="center"/>
    </xf>
    <xf numFmtId="164" fontId="28" fillId="21" borderId="0" xfId="1" applyNumberFormat="1" applyFont="1" applyFill="1" applyBorder="1" applyAlignment="1">
      <alignment horizontal="center" vertical="center"/>
    </xf>
    <xf numFmtId="0" fontId="81" fillId="0" borderId="0" xfId="0" applyFont="1"/>
    <xf numFmtId="0" fontId="82" fillId="0" borderId="0" xfId="0" applyFont="1"/>
    <xf numFmtId="0" fontId="71" fillId="0" borderId="0" xfId="0" applyFont="1" applyAlignment="1">
      <alignment vertical="center" wrapText="1"/>
    </xf>
    <xf numFmtId="166" fontId="83" fillId="30" borderId="0" xfId="0" applyNumberFormat="1" applyFont="1" applyFill="1"/>
    <xf numFmtId="0" fontId="84" fillId="0" borderId="0" xfId="0" applyFont="1"/>
    <xf numFmtId="41" fontId="9" fillId="0" borderId="0" xfId="4" applyFont="1"/>
    <xf numFmtId="1" fontId="85" fillId="0" borderId="0" xfId="0" applyNumberFormat="1" applyFont="1"/>
    <xf numFmtId="41" fontId="0" fillId="0" borderId="0" xfId="4" applyFont="1"/>
    <xf numFmtId="0" fontId="22" fillId="21" borderId="14" xfId="0" applyFont="1" applyFill="1" applyBorder="1" applyAlignment="1">
      <alignment horizontal="left" vertical="center" wrapText="1" readingOrder="1"/>
    </xf>
    <xf numFmtId="0" fontId="59" fillId="29" borderId="0" xfId="0" applyFont="1" applyFill="1" applyAlignment="1">
      <alignment horizontal="center" vertical="center"/>
    </xf>
    <xf numFmtId="0" fontId="59" fillId="3" borderId="0" xfId="0" applyFont="1" applyFill="1" applyAlignment="1">
      <alignment horizontal="center" vertical="center"/>
    </xf>
    <xf numFmtId="0" fontId="17" fillId="2" borderId="8" xfId="0" applyFont="1" applyFill="1" applyBorder="1" applyAlignment="1">
      <alignment horizontal="center" vertical="center"/>
    </xf>
    <xf numFmtId="0" fontId="17" fillId="2" borderId="9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9" fontId="17" fillId="2" borderId="1" xfId="0" applyNumberFormat="1" applyFont="1" applyFill="1" applyBorder="1" applyAlignment="1">
      <alignment horizontal="center" vertical="center"/>
    </xf>
    <xf numFmtId="9" fontId="17" fillId="2" borderId="10" xfId="0" applyNumberFormat="1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10" fontId="14" fillId="2" borderId="1" xfId="1" applyNumberFormat="1" applyFont="1" applyFill="1" applyBorder="1" applyAlignment="1">
      <alignment horizontal="center" vertical="center" wrapText="1"/>
    </xf>
    <xf numFmtId="10" fontId="14" fillId="2" borderId="2" xfId="1" applyNumberFormat="1" applyFont="1" applyFill="1" applyBorder="1" applyAlignment="1">
      <alignment horizontal="center" vertical="center" wrapText="1"/>
    </xf>
    <xf numFmtId="10" fontId="14" fillId="2" borderId="10" xfId="1" applyNumberFormat="1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0" fillId="15" borderId="11" xfId="0" applyFont="1" applyFill="1" applyBorder="1" applyAlignment="1">
      <alignment horizontal="center" vertical="center" wrapText="1"/>
    </xf>
    <xf numFmtId="0" fontId="10" fillId="15" borderId="9" xfId="0" applyFont="1" applyFill="1" applyBorder="1" applyAlignment="1">
      <alignment horizontal="center" vertical="center" wrapText="1"/>
    </xf>
    <xf numFmtId="0" fontId="14" fillId="14" borderId="11" xfId="0" applyFont="1" applyFill="1" applyBorder="1" applyAlignment="1">
      <alignment horizontal="center" vertical="center" wrapText="1"/>
    </xf>
    <xf numFmtId="0" fontId="14" fillId="14" borderId="9" xfId="0" applyFont="1" applyFill="1" applyBorder="1" applyAlignment="1">
      <alignment horizontal="center" vertical="center" wrapText="1"/>
    </xf>
    <xf numFmtId="0" fontId="14" fillId="9" borderId="11" xfId="0" applyFont="1" applyFill="1" applyBorder="1" applyAlignment="1">
      <alignment horizontal="center" vertical="center" wrapText="1"/>
    </xf>
    <xf numFmtId="0" fontId="14" fillId="9" borderId="9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10" fontId="14" fillId="2" borderId="3" xfId="1" applyNumberFormat="1" applyFont="1" applyFill="1" applyBorder="1" applyAlignment="1">
      <alignment horizontal="center" vertical="center" wrapText="1"/>
    </xf>
    <xf numFmtId="0" fontId="14" fillId="7" borderId="8" xfId="0" applyFont="1" applyFill="1" applyBorder="1" applyAlignment="1">
      <alignment horizontal="center" vertical="center"/>
    </xf>
    <xf numFmtId="0" fontId="14" fillId="7" borderId="9" xfId="0" applyFont="1" applyFill="1" applyBorder="1" applyAlignment="1">
      <alignment horizontal="center" vertical="center"/>
    </xf>
    <xf numFmtId="10" fontId="14" fillId="7" borderId="1" xfId="1" applyNumberFormat="1" applyFont="1" applyFill="1" applyBorder="1" applyAlignment="1">
      <alignment horizontal="center" vertical="center" wrapText="1"/>
    </xf>
    <xf numFmtId="10" fontId="14" fillId="7" borderId="2" xfId="1" applyNumberFormat="1" applyFont="1" applyFill="1" applyBorder="1" applyAlignment="1">
      <alignment horizontal="center" vertical="center" wrapText="1"/>
    </xf>
    <xf numFmtId="10" fontId="14" fillId="7" borderId="10" xfId="1" applyNumberFormat="1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4" fillId="7" borderId="4" xfId="0" applyFont="1" applyFill="1" applyBorder="1" applyAlignment="1">
      <alignment horizontal="center" vertical="center" wrapText="1"/>
    </xf>
    <xf numFmtId="0" fontId="14" fillId="7" borderId="7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4" fillId="2" borderId="4" xfId="0" applyFont="1" applyFill="1" applyBorder="1" applyAlignment="1">
      <alignment horizontal="left" vertical="center" wrapText="1"/>
    </xf>
    <xf numFmtId="0" fontId="14" fillId="2" borderId="0" xfId="0" applyFont="1" applyFill="1" applyAlignment="1">
      <alignment horizontal="left" vertical="center" wrapText="1"/>
    </xf>
    <xf numFmtId="0" fontId="10" fillId="15" borderId="4" xfId="0" applyFont="1" applyFill="1" applyBorder="1" applyAlignment="1">
      <alignment horizontal="center" vertical="center" wrapText="1"/>
    </xf>
    <xf numFmtId="0" fontId="41" fillId="14" borderId="11" xfId="0" applyFont="1" applyFill="1" applyBorder="1" applyAlignment="1">
      <alignment horizontal="center" vertical="center" wrapText="1"/>
    </xf>
    <xf numFmtId="0" fontId="41" fillId="14" borderId="9" xfId="0" applyFont="1" applyFill="1" applyBorder="1" applyAlignment="1">
      <alignment horizontal="center" vertical="center" wrapText="1"/>
    </xf>
    <xf numFmtId="0" fontId="41" fillId="25" borderId="11" xfId="0" applyFont="1" applyFill="1" applyBorder="1" applyAlignment="1">
      <alignment horizontal="center" vertical="center" wrapText="1"/>
    </xf>
    <xf numFmtId="0" fontId="41" fillId="25" borderId="9" xfId="0" applyFont="1" applyFill="1" applyBorder="1" applyAlignment="1">
      <alignment horizontal="center" vertical="center" wrapText="1"/>
    </xf>
    <xf numFmtId="0" fontId="79" fillId="0" borderId="0" xfId="0" applyFont="1" applyAlignment="1">
      <alignment horizontal="left"/>
    </xf>
    <xf numFmtId="0" fontId="9" fillId="32" borderId="28" xfId="0" applyFont="1" applyFill="1" applyBorder="1" applyAlignment="1">
      <alignment horizontal="left"/>
    </xf>
    <xf numFmtId="0" fontId="79" fillId="32" borderId="28" xfId="0" applyFont="1" applyFill="1" applyBorder="1" applyAlignment="1">
      <alignment horizontal="left"/>
    </xf>
    <xf numFmtId="0" fontId="10" fillId="32" borderId="41" xfId="0" applyFont="1" applyFill="1" applyBorder="1" applyAlignment="1">
      <alignment horizontal="center" vertical="center" textRotation="255"/>
    </xf>
    <xf numFmtId="0" fontId="10" fillId="32" borderId="44" xfId="0" applyFont="1" applyFill="1" applyBorder="1" applyAlignment="1">
      <alignment horizontal="center" vertical="center" textRotation="255"/>
    </xf>
    <xf numFmtId="0" fontId="10" fillId="32" borderId="46" xfId="0" applyFont="1" applyFill="1" applyBorder="1" applyAlignment="1">
      <alignment horizontal="center" vertical="center" textRotation="255"/>
    </xf>
    <xf numFmtId="0" fontId="79" fillId="32" borderId="42" xfId="0" applyFont="1" applyFill="1" applyBorder="1" applyAlignment="1">
      <alignment horizontal="left"/>
    </xf>
    <xf numFmtId="0" fontId="9" fillId="32" borderId="47" xfId="0" applyFont="1" applyFill="1" applyBorder="1" applyAlignment="1">
      <alignment horizontal="left"/>
    </xf>
    <xf numFmtId="0" fontId="10" fillId="29" borderId="41" xfId="0" applyFont="1" applyFill="1" applyBorder="1" applyAlignment="1">
      <alignment horizontal="center" vertical="center" textRotation="255"/>
    </xf>
    <xf numFmtId="0" fontId="10" fillId="29" borderId="44" xfId="0" applyFont="1" applyFill="1" applyBorder="1" applyAlignment="1">
      <alignment horizontal="center" vertical="center" textRotation="255"/>
    </xf>
    <xf numFmtId="0" fontId="10" fillId="29" borderId="46" xfId="0" applyFont="1" applyFill="1" applyBorder="1" applyAlignment="1">
      <alignment horizontal="center" vertical="center" textRotation="255"/>
    </xf>
    <xf numFmtId="0" fontId="79" fillId="29" borderId="42" xfId="0" applyFont="1" applyFill="1" applyBorder="1" applyAlignment="1">
      <alignment horizontal="left"/>
    </xf>
    <xf numFmtId="0" fontId="9" fillId="29" borderId="28" xfId="0" applyFont="1" applyFill="1" applyBorder="1" applyAlignment="1">
      <alignment horizontal="left"/>
    </xf>
    <xf numFmtId="0" fontId="79" fillId="29" borderId="28" xfId="0" applyFont="1" applyFill="1" applyBorder="1" applyAlignment="1">
      <alignment horizontal="left"/>
    </xf>
    <xf numFmtId="0" fontId="9" fillId="29" borderId="47" xfId="0" applyFont="1" applyFill="1" applyBorder="1" applyAlignment="1">
      <alignment horizontal="left"/>
    </xf>
    <xf numFmtId="0" fontId="9" fillId="30" borderId="28" xfId="0" applyFont="1" applyFill="1" applyBorder="1" applyAlignment="1">
      <alignment horizontal="left"/>
    </xf>
    <xf numFmtId="0" fontId="79" fillId="30" borderId="28" xfId="0" applyFont="1" applyFill="1" applyBorder="1" applyAlignment="1">
      <alignment horizontal="left"/>
    </xf>
    <xf numFmtId="0" fontId="9" fillId="30" borderId="47" xfId="0" applyFont="1" applyFill="1" applyBorder="1" applyAlignment="1">
      <alignment horizontal="left"/>
    </xf>
    <xf numFmtId="0" fontId="60" fillId="30" borderId="28" xfId="0" applyFont="1" applyFill="1" applyBorder="1" applyAlignment="1">
      <alignment horizontal="left"/>
    </xf>
    <xf numFmtId="0" fontId="10" fillId="0" borderId="28" xfId="0" applyFont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 wrapText="1"/>
    </xf>
    <xf numFmtId="0" fontId="78" fillId="0" borderId="45" xfId="0" applyFont="1" applyBorder="1" applyAlignment="1">
      <alignment horizontal="center" vertical="center" wrapText="1"/>
    </xf>
    <xf numFmtId="0" fontId="78" fillId="0" borderId="48" xfId="0" applyFont="1" applyBorder="1" applyAlignment="1">
      <alignment horizontal="center" vertical="center" wrapText="1"/>
    </xf>
    <xf numFmtId="0" fontId="76" fillId="21" borderId="18" xfId="0" applyFont="1" applyFill="1" applyBorder="1" applyAlignment="1">
      <alignment horizontal="center" vertical="center" wrapText="1"/>
    </xf>
    <xf numFmtId="0" fontId="76" fillId="21" borderId="19" xfId="0" applyFont="1" applyFill="1" applyBorder="1" applyAlignment="1">
      <alignment horizontal="center" vertical="center" wrapText="1"/>
    </xf>
    <xf numFmtId="0" fontId="76" fillId="21" borderId="20" xfId="0" applyFont="1" applyFill="1" applyBorder="1" applyAlignment="1">
      <alignment horizontal="center" vertical="center" wrapText="1"/>
    </xf>
    <xf numFmtId="0" fontId="76" fillId="21" borderId="49" xfId="0" applyFont="1" applyFill="1" applyBorder="1" applyAlignment="1">
      <alignment horizontal="center" vertical="center" wrapText="1"/>
    </xf>
    <xf numFmtId="0" fontId="76" fillId="21" borderId="40" xfId="0" applyFont="1" applyFill="1" applyBorder="1" applyAlignment="1">
      <alignment horizontal="center" vertical="center" wrapText="1"/>
    </xf>
    <xf numFmtId="0" fontId="76" fillId="21" borderId="50" xfId="0" applyFont="1" applyFill="1" applyBorder="1" applyAlignment="1">
      <alignment horizontal="center" vertical="center" wrapText="1"/>
    </xf>
    <xf numFmtId="0" fontId="9" fillId="0" borderId="51" xfId="0" applyFont="1" applyBorder="1" applyAlignment="1">
      <alignment horizontal="center"/>
    </xf>
    <xf numFmtId="0" fontId="9" fillId="0" borderId="52" xfId="0" applyFont="1" applyBorder="1" applyAlignment="1">
      <alignment horizontal="center"/>
    </xf>
    <xf numFmtId="0" fontId="9" fillId="0" borderId="21" xfId="0" applyFont="1" applyBorder="1" applyAlignment="1">
      <alignment horizontal="center"/>
    </xf>
    <xf numFmtId="0" fontId="9" fillId="0" borderId="33" xfId="0" applyFont="1" applyBorder="1" applyAlignment="1">
      <alignment horizontal="center"/>
    </xf>
    <xf numFmtId="0" fontId="9" fillId="0" borderId="49" xfId="0" applyFont="1" applyBorder="1" applyAlignment="1">
      <alignment horizontal="center"/>
    </xf>
    <xf numFmtId="0" fontId="9" fillId="0" borderId="53" xfId="0" applyFont="1" applyBorder="1" applyAlignment="1">
      <alignment horizontal="center"/>
    </xf>
    <xf numFmtId="0" fontId="10" fillId="30" borderId="41" xfId="0" applyFont="1" applyFill="1" applyBorder="1" applyAlignment="1">
      <alignment horizontal="center" vertical="center" textRotation="255" wrapText="1"/>
    </xf>
    <xf numFmtId="0" fontId="10" fillId="30" borderId="44" xfId="0" applyFont="1" applyFill="1" applyBorder="1" applyAlignment="1">
      <alignment horizontal="center" vertical="center" textRotation="255" wrapText="1"/>
    </xf>
    <xf numFmtId="0" fontId="10" fillId="30" borderId="46" xfId="0" applyFont="1" applyFill="1" applyBorder="1" applyAlignment="1">
      <alignment horizontal="center" vertical="center" textRotation="255" wrapText="1"/>
    </xf>
    <xf numFmtId="0" fontId="79" fillId="30" borderId="42" xfId="0" applyFont="1" applyFill="1" applyBorder="1" applyAlignment="1">
      <alignment horizontal="left"/>
    </xf>
    <xf numFmtId="0" fontId="59" fillId="30" borderId="42" xfId="0" applyFont="1" applyFill="1" applyBorder="1" applyAlignment="1">
      <alignment horizontal="center"/>
    </xf>
    <xf numFmtId="0" fontId="59" fillId="30" borderId="43" xfId="0" applyFont="1" applyFill="1" applyBorder="1" applyAlignment="1">
      <alignment horizontal="center"/>
    </xf>
    <xf numFmtId="0" fontId="10" fillId="0" borderId="28" xfId="0" applyFont="1" applyBorder="1" applyAlignment="1">
      <alignment horizontal="center" vertical="center"/>
    </xf>
    <xf numFmtId="0" fontId="10" fillId="0" borderId="47" xfId="0" applyFont="1" applyBorder="1" applyAlignment="1">
      <alignment horizontal="center" vertical="center"/>
    </xf>
    <xf numFmtId="0" fontId="77" fillId="0" borderId="28" xfId="0" applyFont="1" applyBorder="1" applyAlignment="1">
      <alignment horizontal="center" vertical="center" wrapText="1"/>
    </xf>
    <xf numFmtId="0" fontId="77" fillId="0" borderId="47" xfId="0" applyFont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left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9" fontId="14" fillId="2" borderId="1" xfId="1" applyFont="1" applyFill="1" applyBorder="1" applyAlignment="1">
      <alignment horizontal="center" vertical="center"/>
    </xf>
    <xf numFmtId="9" fontId="14" fillId="2" borderId="10" xfId="1" applyFont="1" applyFill="1" applyBorder="1" applyAlignment="1">
      <alignment horizontal="center" vertical="center"/>
    </xf>
    <xf numFmtId="10" fontId="41" fillId="2" borderId="1" xfId="1" applyNumberFormat="1" applyFont="1" applyFill="1" applyBorder="1" applyAlignment="1">
      <alignment horizontal="center" vertical="center" wrapText="1"/>
    </xf>
    <xf numFmtId="10" fontId="41" fillId="2" borderId="2" xfId="1" applyNumberFormat="1" applyFont="1" applyFill="1" applyBorder="1" applyAlignment="1">
      <alignment horizontal="center" vertical="center" wrapText="1"/>
    </xf>
    <xf numFmtId="10" fontId="41" fillId="2" borderId="10" xfId="1" applyNumberFormat="1" applyFont="1" applyFill="1" applyBorder="1" applyAlignment="1">
      <alignment horizontal="center" vertical="center" wrapText="1"/>
    </xf>
    <xf numFmtId="0" fontId="41" fillId="2" borderId="3" xfId="0" applyFont="1" applyFill="1" applyBorder="1" applyAlignment="1">
      <alignment horizontal="center" vertical="center"/>
    </xf>
    <xf numFmtId="0" fontId="41" fillId="2" borderId="4" xfId="0" applyFont="1" applyFill="1" applyBorder="1" applyAlignment="1">
      <alignment horizontal="center" vertical="center" wrapText="1"/>
    </xf>
    <xf numFmtId="0" fontId="41" fillId="2" borderId="7" xfId="0" applyFont="1" applyFill="1" applyBorder="1" applyAlignment="1">
      <alignment horizontal="center" vertical="center" wrapText="1"/>
    </xf>
    <xf numFmtId="0" fontId="28" fillId="15" borderId="11" xfId="0" applyFont="1" applyFill="1" applyBorder="1" applyAlignment="1">
      <alignment horizontal="center" vertical="center" wrapText="1"/>
    </xf>
    <xf numFmtId="0" fontId="28" fillId="15" borderId="9" xfId="0" applyFont="1" applyFill="1" applyBorder="1" applyAlignment="1">
      <alignment horizontal="center" vertical="center" wrapText="1"/>
    </xf>
    <xf numFmtId="0" fontId="41" fillId="2" borderId="8" xfId="0" applyFont="1" applyFill="1" applyBorder="1" applyAlignment="1">
      <alignment horizontal="center" vertical="center"/>
    </xf>
    <xf numFmtId="0" fontId="41" fillId="2" borderId="9" xfId="0" applyFont="1" applyFill="1" applyBorder="1" applyAlignment="1">
      <alignment horizontal="center" vertical="center"/>
    </xf>
    <xf numFmtId="9" fontId="17" fillId="2" borderId="1" xfId="1" applyFont="1" applyFill="1" applyBorder="1" applyAlignment="1">
      <alignment horizontal="center" vertical="center"/>
    </xf>
    <xf numFmtId="9" fontId="17" fillId="2" borderId="10" xfId="1" applyFont="1" applyFill="1" applyBorder="1" applyAlignment="1">
      <alignment horizontal="center" vertical="center"/>
    </xf>
    <xf numFmtId="0" fontId="2" fillId="9" borderId="11" xfId="0" applyFont="1" applyFill="1" applyBorder="1" applyAlignment="1">
      <alignment horizontal="center" vertical="center" wrapText="1"/>
    </xf>
    <xf numFmtId="0" fontId="2" fillId="9" borderId="9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10" fontId="2" fillId="2" borderId="1" xfId="1" applyNumberFormat="1" applyFont="1" applyFill="1" applyBorder="1" applyAlignment="1">
      <alignment horizontal="center" vertical="center" wrapText="1"/>
    </xf>
    <xf numFmtId="10" fontId="2" fillId="2" borderId="2" xfId="1" applyNumberFormat="1" applyFont="1" applyFill="1" applyBorder="1" applyAlignment="1">
      <alignment horizontal="center" vertical="center" wrapText="1"/>
    </xf>
    <xf numFmtId="10" fontId="2" fillId="2" borderId="10" xfId="1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74" fillId="0" borderId="25" xfId="2" applyFont="1" applyFill="1" applyBorder="1" applyAlignment="1">
      <alignment horizontal="center" vertical="center"/>
    </xf>
    <xf numFmtId="0" fontId="74" fillId="0" borderId="26" xfId="2" applyFont="1" applyFill="1" applyBorder="1" applyAlignment="1">
      <alignment horizontal="center" vertical="center"/>
    </xf>
    <xf numFmtId="0" fontId="41" fillId="12" borderId="3" xfId="0" applyFont="1" applyFill="1" applyBorder="1" applyAlignment="1">
      <alignment horizontal="center" vertical="center"/>
    </xf>
    <xf numFmtId="0" fontId="41" fillId="12" borderId="3" xfId="2" applyFont="1" applyFill="1" applyBorder="1" applyAlignment="1">
      <alignment horizontal="center" vertical="center" wrapText="1"/>
    </xf>
    <xf numFmtId="0" fontId="41" fillId="12" borderId="4" xfId="0" applyFont="1" applyFill="1" applyBorder="1" applyAlignment="1">
      <alignment horizontal="center" vertical="center"/>
    </xf>
    <xf numFmtId="0" fontId="41" fillId="12" borderId="0" xfId="0" applyFont="1" applyFill="1" applyAlignment="1">
      <alignment horizontal="center" vertical="center"/>
    </xf>
    <xf numFmtId="0" fontId="28" fillId="15" borderId="4" xfId="0" applyFont="1" applyFill="1" applyBorder="1" applyAlignment="1">
      <alignment horizontal="center" vertical="center"/>
    </xf>
    <xf numFmtId="0" fontId="2" fillId="7" borderId="8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2" fillId="7" borderId="10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0" fontId="2" fillId="7" borderId="13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 wrapText="1"/>
    </xf>
    <xf numFmtId="0" fontId="41" fillId="2" borderId="35" xfId="0" applyFont="1" applyFill="1" applyBorder="1" applyAlignment="1">
      <alignment horizontal="center" vertical="center" wrapText="1"/>
    </xf>
    <xf numFmtId="0" fontId="41" fillId="2" borderId="27" xfId="0" applyFont="1" applyFill="1" applyBorder="1" applyAlignment="1">
      <alignment horizontal="center" vertical="center" wrapText="1"/>
    </xf>
    <xf numFmtId="0" fontId="41" fillId="2" borderId="28" xfId="0" applyFont="1" applyFill="1" applyBorder="1" applyAlignment="1">
      <alignment horizontal="center" vertical="center" wrapText="1"/>
    </xf>
    <xf numFmtId="0" fontId="41" fillId="2" borderId="27" xfId="0" applyFont="1" applyFill="1" applyBorder="1" applyAlignment="1">
      <alignment horizontal="center" wrapText="1"/>
    </xf>
    <xf numFmtId="0" fontId="41" fillId="2" borderId="28" xfId="0" applyFont="1" applyFill="1" applyBorder="1" applyAlignment="1">
      <alignment horizontal="center" wrapText="1"/>
    </xf>
    <xf numFmtId="0" fontId="41" fillId="2" borderId="37" xfId="0" applyFont="1" applyFill="1" applyBorder="1" applyAlignment="1">
      <alignment horizontal="center"/>
    </xf>
    <xf numFmtId="0" fontId="41" fillId="2" borderId="40" xfId="0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41" fillId="2" borderId="28" xfId="0" applyFont="1" applyFill="1" applyBorder="1" applyAlignment="1">
      <alignment horizontal="center"/>
    </xf>
    <xf numFmtId="0" fontId="41" fillId="2" borderId="29" xfId="0" applyFont="1" applyFill="1" applyBorder="1" applyAlignment="1">
      <alignment horizontal="center" wrapText="1"/>
    </xf>
    <xf numFmtId="0" fontId="41" fillId="15" borderId="36" xfId="0" applyFont="1" applyFill="1" applyBorder="1" applyAlignment="1">
      <alignment horizontal="center" vertical="center" wrapText="1"/>
    </xf>
    <xf numFmtId="0" fontId="41" fillId="15" borderId="37" xfId="0" applyFont="1" applyFill="1" applyBorder="1" applyAlignment="1">
      <alignment horizontal="center" vertical="center" wrapText="1"/>
    </xf>
    <xf numFmtId="0" fontId="17" fillId="9" borderId="11" xfId="0" applyFont="1" applyFill="1" applyBorder="1" applyAlignment="1">
      <alignment horizontal="center" vertical="center" wrapText="1"/>
    </xf>
    <xf numFmtId="0" fontId="17" fillId="9" borderId="9" xfId="0" applyFont="1" applyFill="1" applyBorder="1" applyAlignment="1">
      <alignment horizontal="center" vertical="center" wrapText="1"/>
    </xf>
    <xf numFmtId="0" fontId="2" fillId="7" borderId="11" xfId="0" applyFont="1" applyFill="1" applyBorder="1" applyAlignment="1">
      <alignment horizontal="center" vertical="center"/>
    </xf>
    <xf numFmtId="0" fontId="2" fillId="7" borderId="11" xfId="0" applyFont="1" applyFill="1" applyBorder="1" applyAlignment="1">
      <alignment horizontal="center" vertical="center" wrapText="1"/>
    </xf>
    <xf numFmtId="0" fontId="2" fillId="7" borderId="9" xfId="0" applyFont="1" applyFill="1" applyBorder="1" applyAlignment="1">
      <alignment horizontal="center" vertical="center" wrapText="1"/>
    </xf>
    <xf numFmtId="0" fontId="41" fillId="2" borderId="34" xfId="0" applyFont="1" applyFill="1" applyBorder="1" applyAlignment="1">
      <alignment horizontal="center" vertical="center"/>
    </xf>
    <xf numFmtId="0" fontId="41" fillId="2" borderId="35" xfId="0" applyFont="1" applyFill="1" applyBorder="1" applyAlignment="1">
      <alignment horizontal="center" vertical="center"/>
    </xf>
    <xf numFmtId="0" fontId="32" fillId="0" borderId="0" xfId="0" applyFont="1" applyAlignment="1">
      <alignment horizontal="center"/>
    </xf>
    <xf numFmtId="0" fontId="41" fillId="2" borderId="29" xfId="0" applyFont="1" applyFill="1" applyBorder="1" applyAlignment="1">
      <alignment horizontal="center" vertical="center"/>
    </xf>
    <xf numFmtId="0" fontId="41" fillId="2" borderId="30" xfId="0" applyFont="1" applyFill="1" applyBorder="1" applyAlignment="1">
      <alignment horizontal="center" vertical="center"/>
    </xf>
    <xf numFmtId="0" fontId="41" fillId="2" borderId="31" xfId="0" applyFont="1" applyFill="1" applyBorder="1" applyAlignment="1">
      <alignment horizontal="center" vertical="center"/>
    </xf>
    <xf numFmtId="0" fontId="41" fillId="2" borderId="27" xfId="0" applyFont="1" applyFill="1" applyBorder="1" applyAlignment="1">
      <alignment horizontal="center"/>
    </xf>
    <xf numFmtId="0" fontId="41" fillId="2" borderId="32" xfId="0" applyFont="1" applyFill="1" applyBorder="1" applyAlignment="1">
      <alignment horizontal="center" wrapText="1"/>
    </xf>
    <xf numFmtId="0" fontId="41" fillId="2" borderId="0" xfId="0" applyFont="1" applyFill="1" applyAlignment="1">
      <alignment horizontal="center" wrapText="1"/>
    </xf>
    <xf numFmtId="0" fontId="41" fillId="2" borderId="33" xfId="0" applyFont="1" applyFill="1" applyBorder="1" applyAlignment="1">
      <alignment horizontal="center" wrapText="1"/>
    </xf>
    <xf numFmtId="0" fontId="67" fillId="2" borderId="28" xfId="0" applyFont="1" applyFill="1" applyBorder="1" applyAlignment="1">
      <alignment horizontal="center" vertical="center" wrapText="1"/>
    </xf>
    <xf numFmtId="0" fontId="10" fillId="15" borderId="34" xfId="0" applyFont="1" applyFill="1" applyBorder="1" applyAlignment="1">
      <alignment horizontal="center" vertical="center" wrapText="1"/>
    </xf>
    <xf numFmtId="0" fontId="10" fillId="15" borderId="35" xfId="0" applyFont="1" applyFill="1" applyBorder="1" applyAlignment="1">
      <alignment horizontal="center" vertical="center" wrapText="1"/>
    </xf>
    <xf numFmtId="0" fontId="10" fillId="15" borderId="27" xfId="0" applyFont="1" applyFill="1" applyBorder="1" applyAlignment="1">
      <alignment horizontal="center" vertical="center" wrapText="1"/>
    </xf>
    <xf numFmtId="0" fontId="65" fillId="0" borderId="0" xfId="0" applyFont="1" applyAlignment="1">
      <alignment horizontal="center" vertical="center" wrapText="1"/>
    </xf>
    <xf numFmtId="0" fontId="42" fillId="2" borderId="3" xfId="0" applyFont="1" applyFill="1" applyBorder="1" applyAlignment="1">
      <alignment horizontal="center" vertical="center"/>
    </xf>
    <xf numFmtId="0" fontId="42" fillId="2" borderId="6" xfId="0" applyFont="1" applyFill="1" applyBorder="1" applyAlignment="1">
      <alignment horizontal="center" vertical="center"/>
    </xf>
    <xf numFmtId="0" fontId="42" fillId="2" borderId="5" xfId="0" applyFont="1" applyFill="1" applyBorder="1" applyAlignment="1">
      <alignment horizontal="center" vertical="center"/>
    </xf>
    <xf numFmtId="0" fontId="42" fillId="2" borderId="13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12" borderId="5" xfId="0" applyFont="1" applyFill="1" applyBorder="1" applyAlignment="1">
      <alignment horizontal="center" vertical="center"/>
    </xf>
    <xf numFmtId="0" fontId="10" fillId="0" borderId="29" xfId="0" applyFont="1" applyBorder="1" applyAlignment="1">
      <alignment horizontal="center" vertical="center" wrapText="1"/>
    </xf>
    <xf numFmtId="0" fontId="10" fillId="0" borderId="30" xfId="0" applyFont="1" applyBorder="1" applyAlignment="1">
      <alignment horizontal="center" vertical="center" wrapText="1"/>
    </xf>
    <xf numFmtId="0" fontId="10" fillId="0" borderId="31" xfId="0" applyFont="1" applyBorder="1" applyAlignment="1">
      <alignment horizontal="center" vertical="center" wrapText="1"/>
    </xf>
    <xf numFmtId="0" fontId="45" fillId="24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10" xfId="0" applyFont="1" applyFill="1" applyBorder="1" applyAlignment="1">
      <alignment horizontal="left" vertical="center" wrapText="1"/>
    </xf>
    <xf numFmtId="0" fontId="2" fillId="12" borderId="1" xfId="0" applyFont="1" applyFill="1" applyBorder="1" applyAlignment="1">
      <alignment horizontal="left" vertical="center" wrapText="1"/>
    </xf>
    <xf numFmtId="0" fontId="2" fillId="12" borderId="2" xfId="0" applyFont="1" applyFill="1" applyBorder="1" applyAlignment="1">
      <alignment horizontal="left" vertical="center" wrapText="1"/>
    </xf>
    <xf numFmtId="0" fontId="2" fillId="12" borderId="10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/>
    </xf>
    <xf numFmtId="0" fontId="2" fillId="12" borderId="2" xfId="0" applyFont="1" applyFill="1" applyBorder="1" applyAlignment="1">
      <alignment horizontal="center" vertical="center"/>
    </xf>
    <xf numFmtId="0" fontId="2" fillId="12" borderId="10" xfId="0" applyFont="1" applyFill="1" applyBorder="1" applyAlignment="1">
      <alignment horizontal="center" vertical="center"/>
    </xf>
    <xf numFmtId="2" fontId="2" fillId="12" borderId="8" xfId="0" applyNumberFormat="1" applyFont="1" applyFill="1" applyBorder="1" applyAlignment="1">
      <alignment horizontal="center" vertical="center" wrapText="1"/>
    </xf>
    <xf numFmtId="2" fontId="2" fillId="12" borderId="9" xfId="0" applyNumberFormat="1" applyFont="1" applyFill="1" applyBorder="1" applyAlignment="1">
      <alignment horizontal="center" vertical="center" wrapText="1"/>
    </xf>
    <xf numFmtId="0" fontId="2" fillId="12" borderId="2" xfId="0" applyFont="1" applyFill="1" applyBorder="1" applyAlignment="1">
      <alignment horizontal="left" vertical="center"/>
    </xf>
    <xf numFmtId="0" fontId="2" fillId="12" borderId="10" xfId="0" applyFont="1" applyFill="1" applyBorder="1" applyAlignment="1">
      <alignment horizontal="left" vertical="center"/>
    </xf>
    <xf numFmtId="0" fontId="44" fillId="2" borderId="1" xfId="0" applyFont="1" applyFill="1" applyBorder="1" applyAlignment="1">
      <alignment horizontal="left" vertical="center" wrapText="1"/>
    </xf>
    <xf numFmtId="0" fontId="44" fillId="2" borderId="2" xfId="0" applyFont="1" applyFill="1" applyBorder="1" applyAlignment="1">
      <alignment horizontal="left" vertical="center" wrapText="1"/>
    </xf>
    <xf numFmtId="0" fontId="44" fillId="2" borderId="10" xfId="0" applyFont="1" applyFill="1" applyBorder="1" applyAlignment="1">
      <alignment horizontal="left" vertical="center" wrapText="1"/>
    </xf>
    <xf numFmtId="0" fontId="25" fillId="0" borderId="29" xfId="0" applyFont="1" applyBorder="1" applyAlignment="1">
      <alignment horizontal="center" vertical="center" wrapText="1"/>
    </xf>
    <xf numFmtId="0" fontId="25" fillId="0" borderId="30" xfId="0" applyFont="1" applyBorder="1" applyAlignment="1">
      <alignment horizontal="center" vertical="center" wrapText="1"/>
    </xf>
    <xf numFmtId="0" fontId="25" fillId="0" borderId="31" xfId="0" applyFont="1" applyBorder="1" applyAlignment="1">
      <alignment horizontal="center" vertical="center" wrapText="1"/>
    </xf>
    <xf numFmtId="0" fontId="25" fillId="24" borderId="0" xfId="0" applyFont="1" applyFill="1" applyAlignment="1">
      <alignment horizontal="center" vertical="center"/>
    </xf>
    <xf numFmtId="0" fontId="17" fillId="2" borderId="1" xfId="0" applyFont="1" applyFill="1" applyBorder="1" applyAlignment="1">
      <alignment horizontal="left" vertical="center" wrapText="1"/>
    </xf>
    <xf numFmtId="0" fontId="17" fillId="2" borderId="2" xfId="0" applyFont="1" applyFill="1" applyBorder="1" applyAlignment="1">
      <alignment horizontal="left" vertical="center" wrapText="1"/>
    </xf>
    <xf numFmtId="0" fontId="17" fillId="2" borderId="10" xfId="0" applyFont="1" applyFill="1" applyBorder="1" applyAlignment="1">
      <alignment horizontal="left" vertical="center" wrapText="1"/>
    </xf>
    <xf numFmtId="0" fontId="17" fillId="2" borderId="5" xfId="0" applyFont="1" applyFill="1" applyBorder="1" applyAlignment="1">
      <alignment horizontal="center" vertical="center"/>
    </xf>
    <xf numFmtId="0" fontId="17" fillId="12" borderId="5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left" vertical="center" wrapText="1"/>
    </xf>
    <xf numFmtId="0" fontId="14" fillId="2" borderId="5" xfId="0" applyFont="1" applyFill="1" applyBorder="1" applyAlignment="1">
      <alignment horizontal="left" vertical="center" wrapText="1"/>
    </xf>
    <xf numFmtId="0" fontId="2" fillId="7" borderId="8" xfId="0" applyFont="1" applyFill="1" applyBorder="1" applyAlignment="1">
      <alignment horizontal="left" vertical="center"/>
    </xf>
    <xf numFmtId="0" fontId="2" fillId="7" borderId="9" xfId="0" applyFont="1" applyFill="1" applyBorder="1" applyAlignment="1">
      <alignment horizontal="left" vertical="center"/>
    </xf>
    <xf numFmtId="0" fontId="2" fillId="7" borderId="8" xfId="0" applyFont="1" applyFill="1" applyBorder="1" applyAlignment="1">
      <alignment horizontal="center" vertical="center" wrapText="1"/>
    </xf>
    <xf numFmtId="0" fontId="41" fillId="2" borderId="4" xfId="0" applyFont="1" applyFill="1" applyBorder="1" applyAlignment="1">
      <alignment horizontal="left" vertical="center" wrapText="1"/>
    </xf>
    <xf numFmtId="0" fontId="41" fillId="2" borderId="0" xfId="0" applyFont="1" applyFill="1" applyAlignment="1">
      <alignment horizontal="left" vertical="center" wrapText="1"/>
    </xf>
    <xf numFmtId="0" fontId="41" fillId="2" borderId="6" xfId="0" applyFont="1" applyFill="1" applyBorder="1" applyAlignment="1">
      <alignment horizontal="left" vertical="center" wrapText="1"/>
    </xf>
    <xf numFmtId="0" fontId="41" fillId="2" borderId="5" xfId="0" applyFont="1" applyFill="1" applyBorder="1" applyAlignment="1">
      <alignment horizontal="left" vertical="center" wrapText="1"/>
    </xf>
    <xf numFmtId="0" fontId="41" fillId="2" borderId="1" xfId="0" applyFont="1" applyFill="1" applyBorder="1" applyAlignment="1">
      <alignment horizontal="center" vertical="center"/>
    </xf>
    <xf numFmtId="0" fontId="41" fillId="2" borderId="2" xfId="0" applyFont="1" applyFill="1" applyBorder="1" applyAlignment="1">
      <alignment horizontal="center" vertical="center"/>
    </xf>
    <xf numFmtId="0" fontId="41" fillId="2" borderId="10" xfId="0" applyFont="1" applyFill="1" applyBorder="1" applyAlignment="1">
      <alignment horizontal="center" vertical="center"/>
    </xf>
    <xf numFmtId="0" fontId="41" fillId="2" borderId="0" xfId="0" applyFont="1" applyFill="1" applyAlignment="1">
      <alignment horizontal="center" vertical="center" wrapText="1"/>
    </xf>
    <xf numFmtId="0" fontId="41" fillId="2" borderId="8" xfId="0" applyFont="1" applyFill="1" applyBorder="1" applyAlignment="1">
      <alignment horizontal="left" vertical="center"/>
    </xf>
    <xf numFmtId="0" fontId="41" fillId="2" borderId="9" xfId="0" applyFont="1" applyFill="1" applyBorder="1" applyAlignment="1">
      <alignment horizontal="left" vertical="center"/>
    </xf>
    <xf numFmtId="0" fontId="41" fillId="17" borderId="11" xfId="0" applyFont="1" applyFill="1" applyBorder="1" applyAlignment="1">
      <alignment horizontal="center" vertical="center" wrapText="1"/>
    </xf>
    <xf numFmtId="0" fontId="41" fillId="17" borderId="9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horizontal="left" vertical="center" wrapText="1"/>
    </xf>
    <xf numFmtId="0" fontId="41" fillId="2" borderId="2" xfId="0" applyFont="1" applyFill="1" applyBorder="1" applyAlignment="1">
      <alignment horizontal="left" vertical="center" wrapText="1"/>
    </xf>
    <xf numFmtId="0" fontId="20" fillId="28" borderId="15" xfId="0" applyFont="1" applyFill="1" applyBorder="1" applyAlignment="1">
      <alignment horizontal="left" vertical="center" wrapText="1" readingOrder="1"/>
    </xf>
    <xf numFmtId="0" fontId="20" fillId="28" borderId="16" xfId="0" applyFont="1" applyFill="1" applyBorder="1" applyAlignment="1">
      <alignment horizontal="left" vertical="center" wrapText="1" readingOrder="1"/>
    </xf>
    <xf numFmtId="0" fontId="2" fillId="12" borderId="11" xfId="0" applyFont="1" applyFill="1" applyBorder="1" applyAlignment="1">
      <alignment horizontal="center" vertical="center"/>
    </xf>
    <xf numFmtId="0" fontId="2" fillId="12" borderId="9" xfId="0" applyFont="1" applyFill="1" applyBorder="1" applyAlignment="1">
      <alignment horizontal="center" vertical="center"/>
    </xf>
    <xf numFmtId="10" fontId="2" fillId="7" borderId="1" xfId="1" applyNumberFormat="1" applyFont="1" applyFill="1" applyBorder="1" applyAlignment="1">
      <alignment horizontal="center" vertical="center" wrapText="1"/>
    </xf>
    <xf numFmtId="10" fontId="2" fillId="7" borderId="2" xfId="1" applyNumberFormat="1" applyFont="1" applyFill="1" applyBorder="1" applyAlignment="1">
      <alignment horizontal="center" vertical="center" wrapText="1"/>
    </xf>
    <xf numFmtId="10" fontId="2" fillId="7" borderId="10" xfId="1" applyNumberFormat="1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left" vertical="center" wrapText="1"/>
    </xf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  <xf numFmtId="9" fontId="15" fillId="2" borderId="1" xfId="1" applyFont="1" applyFill="1" applyBorder="1" applyAlignment="1">
      <alignment horizontal="center" vertical="center"/>
    </xf>
    <xf numFmtId="9" fontId="15" fillId="2" borderId="10" xfId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15" fillId="2" borderId="10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/>
    </xf>
    <xf numFmtId="9" fontId="15" fillId="2" borderId="1" xfId="0" applyNumberFormat="1" applyFont="1" applyFill="1" applyBorder="1" applyAlignment="1">
      <alignment horizontal="center" vertical="center"/>
    </xf>
    <xf numFmtId="9" fontId="15" fillId="2" borderId="10" xfId="0" applyNumberFormat="1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left"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6" xfId="0" applyFont="1" applyFill="1" applyBorder="1" applyAlignment="1">
      <alignment horizontal="left" vertical="center" wrapText="1"/>
    </xf>
    <xf numFmtId="0" fontId="15" fillId="2" borderId="5" xfId="0" applyFont="1" applyFill="1" applyBorder="1" applyAlignment="1">
      <alignment horizontal="left" vertical="center" wrapText="1"/>
    </xf>
  </cellXfs>
  <cellStyles count="5">
    <cellStyle name="Celda de comprobación" xfId="2" builtinId="23"/>
    <cellStyle name="Millares [0]" xfId="4" builtinId="6"/>
    <cellStyle name="Millares 2" xfId="3" xr:uid="{7D3B5431-9BF2-4753-9E90-E287D83DDEC3}"/>
    <cellStyle name="Normal" xfId="0" builtinId="0"/>
    <cellStyle name="Porcentaje" xfId="1" builtinId="5"/>
  </cellStyles>
  <dxfs count="26"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33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33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B050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CEBE0"/>
      <color rgb="FFEFF6FB"/>
      <color rgb="FFFFFAEB"/>
      <color rgb="FFEDF7E1"/>
      <color rgb="FFFDF1E9"/>
      <color rgb="FFF8CCAE"/>
      <color rgb="FFFDF3ED"/>
      <color rgb="FFE5F4D4"/>
      <color rgb="FFD1E367"/>
      <color rgb="FF0967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theme" Target="theme/theme1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8.xml"/><Relationship Id="rId37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36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externalLink" Target="externalLinks/externalLink6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#REF!</c:f>
          <c:strCache>
            <c:ptCount val="5"/>
            <c:pt idx="0">
              <c:v>Meta 1: </c:v>
            </c:pt>
            <c:pt idx="1">
              <c:v>Porcentaje de niños y niñas de 12 a 23 meses con riesgo del desarrollo psicomotor recuperados.</c:v>
            </c:pt>
          </c:strCache>
        </c:strRef>
      </c:tx>
      <c:layout>
        <c:manualLayout>
          <c:xMode val="edge"/>
          <c:yMode val="edge"/>
          <c:x val="0.10372158216491353"/>
          <c:y val="1.15996283247701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2">
                    <a:lumMod val="75000"/>
                    <a:shade val="30000"/>
                    <a:satMod val="115000"/>
                  </a:schemeClr>
                </a:gs>
                <a:gs pos="50000">
                  <a:schemeClr val="accent2">
                    <a:lumMod val="75000"/>
                    <a:shade val="67500"/>
                    <a:satMod val="115000"/>
                  </a:schemeClr>
                </a:gs>
                <a:gs pos="100000">
                  <a:schemeClr val="accent2">
                    <a:lumMod val="75000"/>
                    <a:shade val="100000"/>
                    <a:satMod val="115000"/>
                  </a:schemeClr>
                </a:gs>
              </a:gsLst>
              <a:lin ang="2700000" scaled="1"/>
              <a:tileRect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C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Logro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5C20-41CE-99E8-37D6325D13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189797200"/>
        <c:axId val="223843064"/>
      </c:barChart>
      <c:lineChart>
        <c:grouping val="standard"/>
        <c:varyColors val="0"/>
        <c:ser>
          <c:idx val="1"/>
          <c:order val="1"/>
          <c:spPr>
            <a:ln w="22225" cap="rnd">
              <a:solidFill>
                <a:srgbClr val="CC0000"/>
              </a:solidFill>
              <a:prstDash val="dash"/>
              <a:round/>
              <a:headEnd type="none" w="med" len="med"/>
              <a:tailEnd type="triangle" w="med" len="med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20-41CE-99E8-37D6325D136C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C20-41CE-99E8-37D6325D13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CC0000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#REF!</c:f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Meta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5C20-41CE-99E8-37D6325D13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797200"/>
        <c:axId val="223843064"/>
      </c:lineChart>
      <c:catAx>
        <c:axId val="189797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23843064"/>
        <c:crosses val="autoZero"/>
        <c:auto val="1"/>
        <c:lblAlgn val="ctr"/>
        <c:lblOffset val="100"/>
        <c:noMultiLvlLbl val="0"/>
      </c:catAx>
      <c:valAx>
        <c:axId val="223843064"/>
        <c:scaling>
          <c:orientation val="minMax"/>
          <c:max val="1"/>
          <c:min val="0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89797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/>
              <a:t>Cumplimiento APS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7.5094938683191809E-2"/>
          <c:y val="2.6528855875201578E-2"/>
          <c:w val="0.87649614074491211"/>
          <c:h val="0.607076690991431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SUMA % CUMPLIMIMIENTO DE METAS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(#REF!,#REF!,#REF!)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(#REF!,#REF!,#REF!)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6540-422E-B045-37245345316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282314936"/>
        <c:axId val="281023672"/>
      </c:barChart>
      <c:lineChart>
        <c:grouping val="standard"/>
        <c:varyColors val="0"/>
        <c:ser>
          <c:idx val="1"/>
          <c:order val="1"/>
          <c:tx>
            <c:v>Meta</c:v>
          </c:tx>
          <c:spPr>
            <a:ln w="38100" cap="rnd">
              <a:solidFill>
                <a:srgbClr val="FF0000"/>
              </a:solidFill>
              <a:prstDash val="dash"/>
              <a:round/>
              <a:headEnd type="none" w="med" len="med"/>
              <a:tailEnd type="triangle" w="med" len="med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40-422E-B045-37245345316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540-422E-B045-37245345316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40-422E-B045-37245345316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540-422E-B045-37245345316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40-422E-B045-37245345316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540-422E-B045-372453453168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540-422E-B045-372453453168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540-422E-B045-372453453168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540-422E-B045-372453453168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540-422E-B045-372453453168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540-422E-B045-372453453168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540-422E-B045-372453453168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540-422E-B045-372453453168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540-422E-B045-372453453168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540-422E-B045-372453453168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540-422E-B045-372453453168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540-422E-B045-372453453168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540-422E-B045-372453453168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540-422E-B045-372453453168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6540-422E-B045-372453453168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540-422E-B045-372453453168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540-422E-B045-372453453168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6540-422E-B045-372453453168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540-422E-B045-372453453168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6540-422E-B045-372453453168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540-422E-B045-372453453168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6540-422E-B045-372453453168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6540-422E-B045-372453453168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6540-422E-B045-372453453168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6540-422E-B045-372453453168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6540-422E-B045-372453453168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6540-422E-B045-37245345316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#REF!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(#REF!,#REF!,#REF!)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21-6540-422E-B045-372453453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2314936"/>
        <c:axId val="281023672"/>
      </c:lineChart>
      <c:catAx>
        <c:axId val="28231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81023672"/>
        <c:crosses val="autoZero"/>
        <c:auto val="1"/>
        <c:lblAlgn val="ctr"/>
        <c:lblOffset val="100"/>
        <c:noMultiLvlLbl val="0"/>
      </c:catAx>
      <c:valAx>
        <c:axId val="2810236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>
                    <a:solidFill>
                      <a:schemeClr val="tx1"/>
                    </a:solidFill>
                  </a:rPr>
                  <a:t>Puntaje Final</a:t>
                </a:r>
              </a:p>
            </c:rich>
          </c:tx>
          <c:layout>
            <c:manualLayout>
              <c:xMode val="edge"/>
              <c:yMode val="edge"/>
              <c:x val="2.9198872532472858E-2"/>
              <c:y val="0.2250328029854441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82314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6860209719203804"/>
          <c:y val="0.95382822291056524"/>
          <c:w val="0.53026568119509809"/>
          <c:h val="4.55631298435477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'[8]META 7'!$BH$2:$BK$2</c:f>
          <c:strCache>
            <c:ptCount val="1"/>
            <c:pt idx="0">
              <c:v>Meta 8:  Diseño, ejecución y evaluación de un plan de participación social elaborado por el equipo de salud, del establecimiento o comuna, en conjunto con su comunidad, en reciprocidad con el modelo de salud familiar</c:v>
            </c:pt>
          </c:strCache>
        </c:strRef>
      </c:tx>
      <c:layout>
        <c:manualLayout>
          <c:xMode val="edge"/>
          <c:yMode val="edge"/>
          <c:x val="0.1521633566327292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9.5092330432574812E-2"/>
          <c:y val="0.18780265373902608"/>
          <c:w val="0.87048849035314435"/>
          <c:h val="0.653610841055966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'[8]META 7'!$BK$41</c:f>
              <c:strCache>
                <c:ptCount val="1"/>
                <c:pt idx="0">
                  <c:v>Logro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85000"/>
                        <a:lumOff val="15000"/>
                      </a:schemeClr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C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'[8]META 7'!$BK$42:$BK$44</c:f>
              <c:numCache>
                <c:formatCode>General</c:formatCode>
                <c:ptCount val="3"/>
                <c:pt idx="0">
                  <c:v>1</c:v>
                </c:pt>
                <c:pt idx="1">
                  <c:v>1</c:v>
                </c:pt>
                <c:pt idx="2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'[8]META 7'!$BH$42:$BH$44</c15:sqref>
                        </c15:formulaRef>
                      </c:ext>
                    </c:extLst>
                    <c:strCache>
                      <c:ptCount val="3"/>
                      <c:pt idx="0">
                        <c:v>DIGUILLÍN</c:v>
                      </c:pt>
                      <c:pt idx="1">
                        <c:v>ITATA</c:v>
                      </c:pt>
                      <c:pt idx="2">
                        <c:v>PUNILLA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C0BF-45FE-9896-09E20A2DA6E7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70"/>
        <c:axId val="282311800"/>
        <c:axId val="282312192"/>
      </c:barChart>
      <c:lineChart>
        <c:grouping val="standard"/>
        <c:varyColors val="0"/>
        <c:ser>
          <c:idx val="1"/>
          <c:order val="1"/>
          <c:tx>
            <c:strRef>
              <c:f>'[8]META 7'!$BL$41</c:f>
              <c:strCache>
                <c:ptCount val="1"/>
                <c:pt idx="0">
                  <c:v>Meta</c:v>
                </c:pt>
              </c:strCache>
            </c:strRef>
          </c:tx>
          <c:spPr>
            <a:ln w="22225" cap="rnd">
              <a:solidFill>
                <a:srgbClr val="CC0000"/>
              </a:solidFill>
              <a:prstDash val="dash"/>
              <a:round/>
              <a:headEnd type="none" w="med" len="med"/>
              <a:tailEnd type="triangle" w="med" len="med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0BF-45FE-9896-09E20A2DA6E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0BF-45FE-9896-09E20A2DA6E7}"/>
                </c:ext>
              </c:extLst>
            </c:dLbl>
            <c:dLbl>
              <c:idx val="2"/>
              <c:layout>
                <c:manualLayout>
                  <c:x val="7.969997935840074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0BF-45FE-9896-09E20A2DA6E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CC0000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'[8]META 7'!$BL$42:$BL$44</c:f>
              <c:numCache>
                <c:formatCode>General</c:formatCode>
                <c:ptCount val="3"/>
                <c:pt idx="0">
                  <c:v>0.8</c:v>
                </c:pt>
                <c:pt idx="1">
                  <c:v>0.8</c:v>
                </c:pt>
                <c:pt idx="2">
                  <c:v>0.8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'[8]META 7'!$BH$42:$BH$44</c15:sqref>
                        </c15:formulaRef>
                      </c:ext>
                    </c:extLst>
                    <c:strCache>
                      <c:ptCount val="3"/>
                      <c:pt idx="0">
                        <c:v>DIGUILLÍN</c:v>
                      </c:pt>
                      <c:pt idx="1">
                        <c:v>ITATA</c:v>
                      </c:pt>
                      <c:pt idx="2">
                        <c:v>PUNILLA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4-C0BF-45FE-9896-09E20A2DA6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2311800"/>
        <c:axId val="282312192"/>
      </c:lineChart>
      <c:catAx>
        <c:axId val="282311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82312192"/>
        <c:crosses val="autoZero"/>
        <c:auto val="1"/>
        <c:lblAlgn val="ctr"/>
        <c:lblOffset val="100"/>
        <c:noMultiLvlLbl val="0"/>
      </c:catAx>
      <c:valAx>
        <c:axId val="282312192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8231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L"/>
              <a:t>Cumplimiento APS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7.5094938683191809E-2"/>
          <c:y val="2.6528855875201578E-2"/>
          <c:w val="0.87649614074491211"/>
          <c:h val="0.607076690991431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'[8]META 7'!$BO$3</c:f>
              <c:strCache>
                <c:ptCount val="1"/>
                <c:pt idx="0">
                  <c:v>SUMA % CUMPLIMIMIENTO DE METAS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('[8]META 7'!$B$4:$B$20,'[8]META 7'!$B$22:$B$28,'[8]META 7'!$B$30:$B$36)</c:f>
              <c:strCache>
                <c:ptCount val="31"/>
                <c:pt idx="0">
                  <c:v>CESFAM SAN RAMON NONATO</c:v>
                </c:pt>
                <c:pt idx="1">
                  <c:v>CESFAM ULTRAESTACION</c:v>
                </c:pt>
                <c:pt idx="2">
                  <c:v>CESFAM ISABEL RIQUELME</c:v>
                </c:pt>
                <c:pt idx="3">
                  <c:v>CESFAM QUINCHAMALI</c:v>
                </c:pt>
                <c:pt idx="4">
                  <c:v>CESFAM LOS VOLCANES</c:v>
                </c:pt>
                <c:pt idx="5">
                  <c:v>CESFAM SOL DE ORIENTE</c:v>
                </c:pt>
                <c:pt idx="6">
                  <c:v>CESFAM DR. FEDERICO PUGA B.</c:v>
                </c:pt>
                <c:pt idx="7">
                  <c:v>CESFAM MICHELLE BACHELET</c:v>
                </c:pt>
                <c:pt idx="8">
                  <c:v>DESAMU EL CARMEN</c:v>
                </c:pt>
                <c:pt idx="9">
                  <c:v>CESFAM PEMUCO</c:v>
                </c:pt>
                <c:pt idx="10">
                  <c:v>CESFAM PINTO</c:v>
                </c:pt>
                <c:pt idx="11">
                  <c:v>CESFAM QUILLON</c:v>
                </c:pt>
                <c:pt idx="12">
                  <c:v>CESFAM SAN IGNACIO</c:v>
                </c:pt>
                <c:pt idx="13">
                  <c:v>CESFAM QUIRIQUINA</c:v>
                </c:pt>
                <c:pt idx="14">
                  <c:v>CGR PUEBLO SECO</c:v>
                </c:pt>
                <c:pt idx="15">
                  <c:v>CESFAM CAMPANARIO</c:v>
                </c:pt>
                <c:pt idx="16">
                  <c:v>CESFAM SANTA CLARA</c:v>
                </c:pt>
                <c:pt idx="17">
                  <c:v>CESFAM COBQUECURA</c:v>
                </c:pt>
                <c:pt idx="18">
                  <c:v>DESAMU COELEMU</c:v>
                </c:pt>
                <c:pt idx="19">
                  <c:v>CESFAM NINHUE</c:v>
                </c:pt>
                <c:pt idx="20">
                  <c:v>CESFAM PORTEZUELO</c:v>
                </c:pt>
                <c:pt idx="21">
                  <c:v>DESAMU QUIRIHUE</c:v>
                </c:pt>
                <c:pt idx="22">
                  <c:v>CESFAM ÑIPAS</c:v>
                </c:pt>
                <c:pt idx="23">
                  <c:v>CESFAM TREHUACO</c:v>
                </c:pt>
                <c:pt idx="24">
                  <c:v>CESFAM COIHUECO</c:v>
                </c:pt>
                <c:pt idx="25">
                  <c:v>CESFAM LUIS MONTECINOS</c:v>
                </c:pt>
                <c:pt idx="26">
                  <c:v>CESFAM SAN GREGORIO</c:v>
                </c:pt>
                <c:pt idx="27">
                  <c:v>CESFAM DR. JOSE DURAN TRUJILLO</c:v>
                </c:pt>
                <c:pt idx="28">
                  <c:v>CESFAM TERESA BALDECCHI</c:v>
                </c:pt>
                <c:pt idx="29">
                  <c:v>CESFAM SAN FABIAN</c:v>
                </c:pt>
                <c:pt idx="30">
                  <c:v>CESFAM SAN NICOLAS</c:v>
                </c:pt>
              </c:strCache>
            </c:strRef>
          </c:cat>
          <c:val>
            <c:numRef>
              <c:f>('[8]META 7'!$BO$4:$BO$20,'[8]META 7'!$BO$22:$BO$28,'[8]META 7'!$BO$30:$BO$36)</c:f>
              <c:numCache>
                <c:formatCode>General</c:formatCode>
                <c:ptCount val="31"/>
                <c:pt idx="0">
                  <c:v>96.555464222217765</c:v>
                </c:pt>
                <c:pt idx="1">
                  <c:v>96.287874284128961</c:v>
                </c:pt>
                <c:pt idx="2">
                  <c:v>90.324595355425885</c:v>
                </c:pt>
                <c:pt idx="3">
                  <c:v>97.663728825662517</c:v>
                </c:pt>
                <c:pt idx="4">
                  <c:v>99.24347310126582</c:v>
                </c:pt>
                <c:pt idx="5">
                  <c:v>97.493771171019844</c:v>
                </c:pt>
                <c:pt idx="6">
                  <c:v>95.796393450927454</c:v>
                </c:pt>
                <c:pt idx="7">
                  <c:v>99.004108018175231</c:v>
                </c:pt>
                <c:pt idx="8">
                  <c:v>87.5</c:v>
                </c:pt>
                <c:pt idx="9">
                  <c:v>98.921046974094381</c:v>
                </c:pt>
                <c:pt idx="10">
                  <c:v>93.072162863703099</c:v>
                </c:pt>
                <c:pt idx="11">
                  <c:v>88.162164358679746</c:v>
                </c:pt>
                <c:pt idx="12">
                  <c:v>98.788236543367418</c:v>
                </c:pt>
                <c:pt idx="13">
                  <c:v>96.022859347550508</c:v>
                </c:pt>
                <c:pt idx="14">
                  <c:v>97.318753091088936</c:v>
                </c:pt>
                <c:pt idx="15">
                  <c:v>81.942354091912989</c:v>
                </c:pt>
                <c:pt idx="16">
                  <c:v>98.848985854624033</c:v>
                </c:pt>
                <c:pt idx="17">
                  <c:v>97.062079348211128</c:v>
                </c:pt>
                <c:pt idx="18">
                  <c:v>89.927888718211307</c:v>
                </c:pt>
                <c:pt idx="19">
                  <c:v>100</c:v>
                </c:pt>
                <c:pt idx="20">
                  <c:v>98.962111472283638</c:v>
                </c:pt>
                <c:pt idx="21">
                  <c:v>97.159565580618221</c:v>
                </c:pt>
                <c:pt idx="22">
                  <c:v>80.682704945626597</c:v>
                </c:pt>
                <c:pt idx="23">
                  <c:v>93.058256020925143</c:v>
                </c:pt>
                <c:pt idx="24">
                  <c:v>97.733918128654977</c:v>
                </c:pt>
                <c:pt idx="25">
                  <c:v>100</c:v>
                </c:pt>
                <c:pt idx="26">
                  <c:v>98.519853811264852</c:v>
                </c:pt>
                <c:pt idx="27">
                  <c:v>93.443620513981656</c:v>
                </c:pt>
                <c:pt idx="28">
                  <c:v>89.11818515206852</c:v>
                </c:pt>
                <c:pt idx="29">
                  <c:v>100</c:v>
                </c:pt>
                <c:pt idx="30">
                  <c:v>93.476751337157793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D0-4CBA-B80F-FE27A7C4D2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282314936"/>
        <c:axId val="281023672"/>
      </c:barChart>
      <c:lineChart>
        <c:grouping val="standard"/>
        <c:varyColors val="0"/>
        <c:ser>
          <c:idx val="1"/>
          <c:order val="1"/>
          <c:tx>
            <c:v>Meta</c:v>
          </c:tx>
          <c:spPr>
            <a:ln w="38100" cap="rnd">
              <a:solidFill>
                <a:srgbClr val="FF0000"/>
              </a:solidFill>
              <a:prstDash val="dash"/>
              <a:round/>
              <a:headEnd type="none" w="med" len="med"/>
              <a:tailEnd type="triangle" w="med" len="med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8D0-4CBA-B80F-FE27A7C4D2D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8D0-4CBA-B80F-FE27A7C4D2D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8D0-4CBA-B80F-FE27A7C4D2DB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8D0-4CBA-B80F-FE27A7C4D2D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8D0-4CBA-B80F-FE27A7C4D2DB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8D0-4CBA-B80F-FE27A7C4D2DB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8D0-4CBA-B80F-FE27A7C4D2D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8D0-4CBA-B80F-FE27A7C4D2DB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8D0-4CBA-B80F-FE27A7C4D2DB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8D0-4CBA-B80F-FE27A7C4D2DB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8D0-4CBA-B80F-FE27A7C4D2DB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8D0-4CBA-B80F-FE27A7C4D2DB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8D0-4CBA-B80F-FE27A7C4D2DB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8D0-4CBA-B80F-FE27A7C4D2DB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8D0-4CBA-B80F-FE27A7C4D2DB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8D0-4CBA-B80F-FE27A7C4D2DB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8D0-4CBA-B80F-FE27A7C4D2DB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B8D0-4CBA-B80F-FE27A7C4D2DB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8D0-4CBA-B80F-FE27A7C4D2DB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B8D0-4CBA-B80F-FE27A7C4D2DB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8D0-4CBA-B80F-FE27A7C4D2DB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B8D0-4CBA-B80F-FE27A7C4D2DB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B8D0-4CBA-B80F-FE27A7C4D2DB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B8D0-4CBA-B80F-FE27A7C4D2DB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B8D0-4CBA-B80F-FE27A7C4D2DB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B8D0-4CBA-B80F-FE27A7C4D2DB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B8D0-4CBA-B80F-FE27A7C4D2DB}"/>
                </c:ext>
              </c:extLst>
            </c:dLbl>
            <c:dLbl>
              <c:idx val="2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B8D0-4CBA-B80F-FE27A7C4D2DB}"/>
                </c:ext>
              </c:extLst>
            </c:dLbl>
            <c:dLbl>
              <c:idx val="2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B8D0-4CBA-B80F-FE27A7C4D2DB}"/>
                </c:ext>
              </c:extLst>
            </c:dLbl>
            <c:dLbl>
              <c:idx val="2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B8D0-4CBA-B80F-FE27A7C4D2DB}"/>
                </c:ext>
              </c:extLst>
            </c:dLbl>
            <c:dLbl>
              <c:idx val="3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B8D0-4CBA-B80F-FE27A7C4D2DB}"/>
                </c:ext>
              </c:extLst>
            </c:dLbl>
            <c:dLbl>
              <c:idx val="3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B8D0-4CBA-B80F-FE27A7C4D2D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(#REF!,#REF!,#REF!)</c:f>
            </c:multiLvlStrRef>
          </c:cat>
          <c:val>
            <c:numRef>
              <c:f>'[8]META 7'!$BQ$4:$BQ$36</c:f>
              <c:numCache>
                <c:formatCode>General</c:formatCode>
                <c:ptCount val="33"/>
                <c:pt idx="0">
                  <c:v>90</c:v>
                </c:pt>
                <c:pt idx="1">
                  <c:v>90</c:v>
                </c:pt>
                <c:pt idx="2">
                  <c:v>90</c:v>
                </c:pt>
                <c:pt idx="3">
                  <c:v>90</c:v>
                </c:pt>
                <c:pt idx="4">
                  <c:v>90</c:v>
                </c:pt>
                <c:pt idx="5">
                  <c:v>90</c:v>
                </c:pt>
                <c:pt idx="6">
                  <c:v>90</c:v>
                </c:pt>
                <c:pt idx="7">
                  <c:v>90</c:v>
                </c:pt>
                <c:pt idx="8">
                  <c:v>90</c:v>
                </c:pt>
                <c:pt idx="9">
                  <c:v>90</c:v>
                </c:pt>
                <c:pt idx="10">
                  <c:v>90</c:v>
                </c:pt>
                <c:pt idx="11">
                  <c:v>90</c:v>
                </c:pt>
                <c:pt idx="12">
                  <c:v>90</c:v>
                </c:pt>
                <c:pt idx="13">
                  <c:v>90</c:v>
                </c:pt>
                <c:pt idx="14">
                  <c:v>90</c:v>
                </c:pt>
                <c:pt idx="15">
                  <c:v>90</c:v>
                </c:pt>
                <c:pt idx="16">
                  <c:v>90</c:v>
                </c:pt>
                <c:pt idx="17">
                  <c:v>90</c:v>
                </c:pt>
                <c:pt idx="18">
                  <c:v>90</c:v>
                </c:pt>
                <c:pt idx="19">
                  <c:v>90</c:v>
                </c:pt>
                <c:pt idx="20">
                  <c:v>90</c:v>
                </c:pt>
                <c:pt idx="21">
                  <c:v>90</c:v>
                </c:pt>
                <c:pt idx="22">
                  <c:v>90</c:v>
                </c:pt>
                <c:pt idx="23">
                  <c:v>90</c:v>
                </c:pt>
                <c:pt idx="24">
                  <c:v>90</c:v>
                </c:pt>
                <c:pt idx="25">
                  <c:v>90</c:v>
                </c:pt>
                <c:pt idx="26">
                  <c:v>90</c:v>
                </c:pt>
                <c:pt idx="27">
                  <c:v>90</c:v>
                </c:pt>
                <c:pt idx="28">
                  <c:v>90</c:v>
                </c:pt>
                <c:pt idx="29">
                  <c:v>90</c:v>
                </c:pt>
                <c:pt idx="30">
                  <c:v>90</c:v>
                </c:pt>
                <c:pt idx="31">
                  <c:v>90</c:v>
                </c:pt>
                <c:pt idx="32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B8D0-4CBA-B80F-FE27A7C4D2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2314936"/>
        <c:axId val="281023672"/>
      </c:lineChart>
      <c:catAx>
        <c:axId val="28231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81023672"/>
        <c:crosses val="autoZero"/>
        <c:auto val="1"/>
        <c:lblAlgn val="ctr"/>
        <c:lblOffset val="100"/>
        <c:noMultiLvlLbl val="0"/>
      </c:catAx>
      <c:valAx>
        <c:axId val="2810236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>
                    <a:solidFill>
                      <a:schemeClr val="tx1"/>
                    </a:solidFill>
                  </a:rPr>
                  <a:t>Puntaje Final</a:t>
                </a:r>
              </a:p>
            </c:rich>
          </c:tx>
          <c:layout>
            <c:manualLayout>
              <c:xMode val="edge"/>
              <c:yMode val="edge"/>
              <c:x val="2.9198872532472858E-2"/>
              <c:y val="0.2250328029854441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82314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6860209719203804"/>
          <c:y val="0.95382822291056524"/>
          <c:w val="0.53026568119509809"/>
          <c:h val="4.55631298435477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#REF!</c:f>
          <c:strCache>
            <c:ptCount val="4"/>
            <c:pt idx="0">
              <c:v>Meta 2: </c:v>
            </c:pt>
            <c:pt idx="1">
              <c:v>Porcentaje de mujeres de 25 a 64 años con PAP vigente en los últimos 3 años.</c:v>
            </c:pt>
          </c:strCache>
        </c:strRef>
      </c:tx>
      <c:layout>
        <c:manualLayout>
          <c:xMode val="edge"/>
          <c:yMode val="edge"/>
          <c:x val="0.10385180320815376"/>
          <c:y val="3.864733123440793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rgbClr val="A66BD3">
                    <a:shade val="30000"/>
                    <a:satMod val="115000"/>
                  </a:srgbClr>
                </a:gs>
                <a:gs pos="50000">
                  <a:srgbClr val="A66BD3">
                    <a:shade val="67500"/>
                    <a:satMod val="115000"/>
                  </a:srgbClr>
                </a:gs>
                <a:gs pos="100000">
                  <a:srgbClr val="A66BD3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C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#REF!</c:f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Logro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ACF-4C74-8EC5-81DDE52526E3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281020536"/>
        <c:axId val="281020928"/>
      </c:barChart>
      <c:lineChart>
        <c:grouping val="standard"/>
        <c:varyColors val="0"/>
        <c:ser>
          <c:idx val="1"/>
          <c:order val="1"/>
          <c:spPr>
            <a:ln w="19050" cap="rnd">
              <a:solidFill>
                <a:srgbClr val="CC0000"/>
              </a:solidFill>
              <a:prstDash val="dash"/>
              <a:round/>
              <a:headEnd type="none" w="med" len="med"/>
              <a:tailEnd type="triangle" w="med" len="med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CF-4C74-8EC5-81DDE52526E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ACF-4C74-8EC5-81DDE52526E3}"/>
                </c:ext>
              </c:extLst>
            </c:dLbl>
            <c:dLbl>
              <c:idx val="2"/>
              <c:layout>
                <c:manualLayout>
                  <c:x val="8.2051300983830983E-2"/>
                  <c:y val="-3.542631105043896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ACF-4C74-8EC5-81DDE52526E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CC0000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#REF!</c:f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Meta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4-CACF-4C74-8EC5-81DDE5252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1020536"/>
        <c:axId val="281020928"/>
      </c:lineChart>
      <c:catAx>
        <c:axId val="281020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81020928"/>
        <c:crosses val="autoZero"/>
        <c:auto val="1"/>
        <c:lblAlgn val="ctr"/>
        <c:lblOffset val="100"/>
        <c:noMultiLvlLbl val="0"/>
      </c:catAx>
      <c:valAx>
        <c:axId val="281020928"/>
        <c:scaling>
          <c:orientation val="minMax"/>
          <c:max val="1"/>
          <c:min val="0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81020536"/>
        <c:crosses val="autoZero"/>
        <c:crossBetween val="between"/>
        <c:majorUnit val="0.1"/>
        <c:minorUnit val="0.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#REF!</c:f>
          <c:strCache>
            <c:ptCount val="4"/>
            <c:pt idx="0">
              <c:v>Meta 3A: </c:v>
            </c:pt>
            <c:pt idx="1">
              <c:v>Control con Enfoque de Riesgo odontológico en población de 0 a 9 años.</c:v>
            </c:pt>
          </c:strCache>
        </c:strRef>
      </c:tx>
      <c:layout>
        <c:manualLayout>
          <c:xMode val="edge"/>
          <c:yMode val="edge"/>
          <c:x val="0.16338056115485389"/>
          <c:y val="3.8507813144323644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5223405409345564"/>
          <c:y val="0.14046320963787251"/>
          <c:w val="0.80767482398074708"/>
          <c:h val="0.6865613801395700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rgbClr val="A3C7E7">
                    <a:shade val="30000"/>
                    <a:satMod val="115000"/>
                  </a:srgbClr>
                </a:gs>
                <a:gs pos="50000">
                  <a:srgbClr val="A3C7E7">
                    <a:shade val="67500"/>
                    <a:satMod val="115000"/>
                  </a:srgbClr>
                </a:gs>
                <a:gs pos="100000">
                  <a:srgbClr val="A3C7E7">
                    <a:shade val="100000"/>
                    <a:satMod val="115000"/>
                  </a:srgbClr>
                </a:gs>
              </a:gsLst>
              <a:lin ang="16200000" scaled="1"/>
              <a:tileRect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85000"/>
                        <a:lumOff val="15000"/>
                      </a:schemeClr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C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#REF!</c:f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Logro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547-4CAD-9C45-F5FD03F6AB4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281021712"/>
        <c:axId val="281022104"/>
      </c:barChart>
      <c:lineChart>
        <c:grouping val="standard"/>
        <c:varyColors val="0"/>
        <c:ser>
          <c:idx val="1"/>
          <c:order val="1"/>
          <c:spPr>
            <a:ln w="22225" cap="rnd">
              <a:solidFill>
                <a:srgbClr val="CC0000"/>
              </a:solidFill>
              <a:prstDash val="dash"/>
              <a:round/>
              <a:headEnd type="none" w="med" len="med"/>
              <a:tailEnd type="triangle" w="med" len="med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547-4CAD-9C45-F5FD03F6AB4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547-4CAD-9C45-F5FD03F6AB48}"/>
                </c:ext>
              </c:extLst>
            </c:dLbl>
            <c:dLbl>
              <c:idx val="2"/>
              <c:layout>
                <c:manualLayout>
                  <c:x val="7.6441507717935606E-2"/>
                  <c:y val="-7.05968418905182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547-4CAD-9C45-F5FD03F6AB4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CC0000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#REF!</c:f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Meta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4-7547-4CAD-9C45-F5FD03F6AB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1021712"/>
        <c:axId val="281022104"/>
      </c:lineChart>
      <c:catAx>
        <c:axId val="28102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81022104"/>
        <c:crosses val="autoZero"/>
        <c:auto val="1"/>
        <c:lblAlgn val="ctr"/>
        <c:lblOffset val="100"/>
        <c:noMultiLvlLbl val="0"/>
      </c:catAx>
      <c:valAx>
        <c:axId val="281022104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81021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#REF!</c:f>
          <c:strCache>
            <c:ptCount val="4"/>
            <c:pt idx="0">
              <c:v>Meta 3B: </c:v>
            </c:pt>
            <c:pt idx="1">
              <c:v>Niños y niñas de 6 años libres de caries</c:v>
            </c:pt>
          </c:strCache>
        </c:strRef>
      </c:tx>
      <c:layout>
        <c:manualLayout>
          <c:xMode val="edge"/>
          <c:yMode val="edge"/>
          <c:x val="0.20563001527054325"/>
          <c:y val="1.8715051922857468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>
                    <a:shade val="30000"/>
                    <a:satMod val="115000"/>
                  </a:schemeClr>
                </a:gs>
                <a:gs pos="50000">
                  <a:schemeClr val="accent1">
                    <a:shade val="67500"/>
                    <a:satMod val="115000"/>
                  </a:schemeClr>
                </a:gs>
                <a:gs pos="100000">
                  <a:schemeClr val="accent1">
                    <a:shade val="100000"/>
                    <a:satMod val="115000"/>
                  </a:schemeClr>
                </a:gs>
              </a:gsLst>
              <a:lin ang="5400000" scaled="1"/>
              <a:tileRect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C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#REF!</c:f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Logro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1E77-48F8-9A25-3BA2073BD68D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281641512"/>
        <c:axId val="281641904"/>
      </c:barChart>
      <c:lineChart>
        <c:grouping val="standard"/>
        <c:varyColors val="0"/>
        <c:ser>
          <c:idx val="1"/>
          <c:order val="1"/>
          <c:spPr>
            <a:ln w="22225" cap="rnd">
              <a:solidFill>
                <a:srgbClr val="CC0000"/>
              </a:solidFill>
              <a:prstDash val="dash"/>
              <a:round/>
              <a:headEnd type="none" w="med" len="med"/>
              <a:tailEnd type="triangle" w="med" len="med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E77-48F8-9A25-3BA2073BD68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E77-48F8-9A25-3BA2073BD68D}"/>
                </c:ext>
              </c:extLst>
            </c:dLbl>
            <c:dLbl>
              <c:idx val="2"/>
              <c:layout>
                <c:manualLayout>
                  <c:x val="8.2562277580071175E-2"/>
                  <c:y val="-1.4170528732404862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E77-48F8-9A25-3BA2073BD6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CC0000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#REF!</c:f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Meta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4-1E77-48F8-9A25-3BA2073BD6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1641512"/>
        <c:axId val="281641904"/>
      </c:lineChart>
      <c:catAx>
        <c:axId val="281641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81641904"/>
        <c:crosses val="autoZero"/>
        <c:auto val="1"/>
        <c:lblAlgn val="ctr"/>
        <c:lblOffset val="100"/>
        <c:noMultiLvlLbl val="0"/>
      </c:catAx>
      <c:valAx>
        <c:axId val="281641904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81641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#REF!</c:f>
          <c:strCache>
            <c:ptCount val="4"/>
            <c:pt idx="0">
              <c:v>Meta 4A: </c:v>
            </c:pt>
            <c:pt idx="1">
              <c:v>Cobertura efectiva de tratamiento de DM2 en personas de 15 y más años.</c:v>
            </c:pt>
          </c:strCache>
        </c:strRef>
      </c:tx>
      <c:layout>
        <c:manualLayout>
          <c:xMode val="edge"/>
          <c:yMode val="edge"/>
          <c:x val="0.14702462273250175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8.6331308706388388E-2"/>
          <c:y val="0.16893580889952545"/>
          <c:w val="0.88650819218590304"/>
          <c:h val="0.668682414219007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918E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C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#REF!</c:f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Logro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282-4478-BFE9-48064A5D2BD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281642688"/>
        <c:axId val="281643080"/>
      </c:barChart>
      <c:lineChart>
        <c:grouping val="standard"/>
        <c:varyColors val="0"/>
        <c:ser>
          <c:idx val="1"/>
          <c:order val="1"/>
          <c:spPr>
            <a:ln w="22225" cap="rnd">
              <a:solidFill>
                <a:srgbClr val="CC0000"/>
              </a:solidFill>
              <a:prstDash val="dash"/>
              <a:round/>
              <a:headEnd type="none" w="med" len="med"/>
              <a:tailEnd type="triangle" w="med" len="med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82-4478-BFE9-48064A5D2BD3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82-4478-BFE9-48064A5D2BD3}"/>
                </c:ext>
              </c:extLst>
            </c:dLbl>
            <c:dLbl>
              <c:idx val="2"/>
              <c:layout>
                <c:manualLayout>
                  <c:x val="8.620979609405971E-2"/>
                  <c:y val="-7.136978342791946E-1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82-4478-BFE9-48064A5D2B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CC0000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#REF!</c:f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Meta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4-C282-4478-BFE9-48064A5D2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1642688"/>
        <c:axId val="281643080"/>
      </c:lineChart>
      <c:catAx>
        <c:axId val="281642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81643080"/>
        <c:crosses val="autoZero"/>
        <c:auto val="0"/>
        <c:lblAlgn val="ctr"/>
        <c:lblOffset val="100"/>
        <c:noMultiLvlLbl val="0"/>
      </c:catAx>
      <c:valAx>
        <c:axId val="281643080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8164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#REF!</c:f>
          <c:strCache>
            <c:ptCount val="4"/>
            <c:pt idx="0">
              <c:v>Meta 6: </c:v>
            </c:pt>
            <c:pt idx="1">
              <c:v>Porcentaje de niños y niñas que, al sexto mes de vida, cuentan con lactancia materna exclusiva.</c:v>
            </c:pt>
          </c:strCache>
        </c:strRef>
      </c:tx>
      <c:layout>
        <c:manualLayout>
          <c:xMode val="edge"/>
          <c:yMode val="edge"/>
          <c:x val="0.17002808750496798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1.6410253229589521E-2"/>
                  <c:y val="0.1150776496427887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661-41D3-B2C3-A81096EE4F4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C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#REF!</c:f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Logro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1661-41D3-B2C3-A81096EE4F4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281644256"/>
        <c:axId val="281644648"/>
      </c:barChart>
      <c:lineChart>
        <c:grouping val="standard"/>
        <c:varyColors val="0"/>
        <c:ser>
          <c:idx val="1"/>
          <c:order val="1"/>
          <c:spPr>
            <a:ln w="22225" cap="rnd">
              <a:solidFill>
                <a:srgbClr val="CC0000"/>
              </a:solidFill>
              <a:prstDash val="dash"/>
              <a:round/>
              <a:headEnd type="none" w="med" len="med"/>
              <a:tailEnd type="triangle" w="med" len="med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661-41D3-B2C3-A81096EE4F4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661-41D3-B2C3-A81096EE4F42}"/>
                </c:ext>
              </c:extLst>
            </c:dLbl>
            <c:dLbl>
              <c:idx val="2"/>
              <c:layout>
                <c:manualLayout>
                  <c:x val="8.2051277776191547E-2"/>
                  <c:y val="-6.813701218545859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661-41D3-B2C3-A81096EE4F4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CC0000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#REF!</c:f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Meta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5-1661-41D3-B2C3-A81096EE4F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1644256"/>
        <c:axId val="281644648"/>
      </c:lineChart>
      <c:catAx>
        <c:axId val="281644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81644648"/>
        <c:crosses val="autoZero"/>
        <c:auto val="0"/>
        <c:lblAlgn val="ctr"/>
        <c:lblOffset val="100"/>
        <c:noMultiLvlLbl val="0"/>
      </c:catAx>
      <c:valAx>
        <c:axId val="281644648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81644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#REF!</c:f>
          <c:strCache>
            <c:ptCount val="4"/>
            <c:pt idx="0">
              <c:v>Meta 8: </c:v>
            </c:pt>
            <c:pt idx="1">
              <c:v>Diseño, ejecución y evaluación de un plan de participación social elaborado por el equipo de salud, del establecimiento o comuna, en conjunto con su comunidad, en reciprocidad con el modelo de salud familiar</c:v>
            </c:pt>
          </c:strCache>
        </c:strRef>
      </c:tx>
      <c:layout>
        <c:manualLayout>
          <c:xMode val="edge"/>
          <c:yMode val="edge"/>
          <c:x val="0.1521633566327292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9.5092330432574812E-2"/>
          <c:y val="0.18780265373902608"/>
          <c:w val="0.87048849035314435"/>
          <c:h val="0.6536108410559666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85000"/>
                        <a:lumOff val="15000"/>
                      </a:schemeClr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C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#REF!</c:f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Logro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5AFF-45E4-8D2A-F39F9672E7A4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70"/>
        <c:axId val="282311800"/>
        <c:axId val="282312192"/>
      </c:barChart>
      <c:lineChart>
        <c:grouping val="standard"/>
        <c:varyColors val="0"/>
        <c:ser>
          <c:idx val="1"/>
          <c:order val="1"/>
          <c:spPr>
            <a:ln w="22225" cap="rnd">
              <a:solidFill>
                <a:srgbClr val="CC0000"/>
              </a:solidFill>
              <a:prstDash val="dash"/>
              <a:round/>
              <a:headEnd type="none" w="med" len="med"/>
              <a:tailEnd type="triangle" w="med" len="med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AFF-45E4-8D2A-F39F9672E7A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AFF-45E4-8D2A-F39F9672E7A4}"/>
                </c:ext>
              </c:extLst>
            </c:dLbl>
            <c:dLbl>
              <c:idx val="2"/>
              <c:layout>
                <c:manualLayout>
                  <c:x val="7.969997935840074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AFF-45E4-8D2A-F39F9672E7A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CC0000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#REF!</c:f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Meta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4-5AFF-45E4-8D2A-F39F9672E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2311800"/>
        <c:axId val="282312192"/>
      </c:lineChart>
      <c:catAx>
        <c:axId val="282311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82312192"/>
        <c:crosses val="autoZero"/>
        <c:auto val="1"/>
        <c:lblAlgn val="ctr"/>
        <c:lblOffset val="100"/>
        <c:noMultiLvlLbl val="0"/>
      </c:catAx>
      <c:valAx>
        <c:axId val="282312192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82311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#REF!</c:f>
          <c:strCache>
            <c:ptCount val="4"/>
            <c:pt idx="0">
              <c:v>Meta 4B ≥ 90%</c:v>
            </c:pt>
          </c:strCache>
        </c:strRef>
      </c:tx>
      <c:layout>
        <c:manualLayout>
          <c:xMode val="edge"/>
          <c:yMode val="edge"/>
          <c:x val="0.39668089335576334"/>
          <c:y val="4.060177586413047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112653698861608"/>
          <c:y val="0.12580476236451954"/>
          <c:w val="0.85943268754396862"/>
          <c:h val="0.7185209955939080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918E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C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#REF!</c:f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Logro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412-470A-ADF9-42015CDC076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281641120"/>
        <c:axId val="282312976"/>
      </c:barChart>
      <c:lineChart>
        <c:grouping val="standard"/>
        <c:varyColors val="0"/>
        <c:ser>
          <c:idx val="1"/>
          <c:order val="1"/>
          <c:spPr>
            <a:ln w="22225" cap="rnd">
              <a:solidFill>
                <a:srgbClr val="CC0000"/>
              </a:solidFill>
              <a:prstDash val="dash"/>
              <a:round/>
              <a:headEnd type="none" w="med" len="med"/>
              <a:tailEnd type="triangle" w="med" len="med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412-470A-ADF9-42015CDC076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412-470A-ADF9-42015CDC076D}"/>
                </c:ext>
              </c:extLst>
            </c:dLbl>
            <c:dLbl>
              <c:idx val="2"/>
              <c:layout>
                <c:manualLayout>
                  <c:x val="8.8573518467451109E-2"/>
                  <c:y val="-3.8970073131791572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412-470A-ADF9-42015CDC07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CC0000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#REF!</c:f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Meta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4-C412-470A-ADF9-42015CDC07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1641120"/>
        <c:axId val="282312976"/>
      </c:lineChart>
      <c:catAx>
        <c:axId val="28164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82312976"/>
        <c:crosses val="autoZero"/>
        <c:auto val="1"/>
        <c:lblAlgn val="ctr"/>
        <c:lblOffset val="100"/>
        <c:noMultiLvlLbl val="0"/>
      </c:catAx>
      <c:valAx>
        <c:axId val="282312976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81641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#REF!</c:f>
          <c:strCache>
            <c:ptCount val="4"/>
            <c:pt idx="0">
              <c:v>Meta 5  ≥ 43%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9.2162162068250203E-2"/>
          <c:y val="0.1157418437163041"/>
          <c:w val="0.88356676075111429"/>
          <c:h val="0.7410360440649032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rgbClr val="00918E">
                    <a:shade val="30000"/>
                    <a:satMod val="115000"/>
                  </a:srgbClr>
                </a:gs>
                <a:gs pos="50000">
                  <a:srgbClr val="00918E">
                    <a:shade val="67500"/>
                    <a:satMod val="115000"/>
                  </a:srgbClr>
                </a:gs>
                <a:gs pos="100000">
                  <a:srgbClr val="00918E">
                    <a:shade val="100000"/>
                    <a:satMod val="115000"/>
                  </a:srgbClr>
                </a:gs>
              </a:gsLst>
              <a:lin ang="5400000" scaled="1"/>
              <a:tileRect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 Black" panose="020B0A04020102020204" pitchFamily="34" charset="0"/>
                    <a:ea typeface="+mn-ea"/>
                    <a:cs typeface="+mn-cs"/>
                  </a:defRPr>
                </a:pPr>
                <a:endParaRPr lang="es-CL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#REF!</c:f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Logro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AAB-4D35-A65E-5E13D03680A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282313760"/>
        <c:axId val="282314152"/>
      </c:barChart>
      <c:lineChart>
        <c:grouping val="standard"/>
        <c:varyColors val="0"/>
        <c:ser>
          <c:idx val="1"/>
          <c:order val="1"/>
          <c:spPr>
            <a:ln w="22225" cap="rnd">
              <a:solidFill>
                <a:srgbClr val="CC0000"/>
              </a:solidFill>
              <a:prstDash val="dash"/>
              <a:round/>
              <a:headEnd type="none" w="med" len="med"/>
              <a:tailEnd type="triangle" w="med" len="med"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AAB-4D35-A65E-5E13D03680A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AAB-4D35-A65E-5E13D03680A8}"/>
                </c:ext>
              </c:extLst>
            </c:dLbl>
            <c:dLbl>
              <c:idx val="2"/>
              <c:layout>
                <c:manualLayout>
                  <c:x val="8.145144168808556E-2"/>
                  <c:y val="-3.7354105745649718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AAB-4D35-A65E-5E13D03680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CC0000"/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#REF!</c:f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Meta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4-7AAB-4D35-A65E-5E13D03680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2313760"/>
        <c:axId val="282314152"/>
      </c:lineChart>
      <c:catAx>
        <c:axId val="28231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82314152"/>
        <c:crosses val="autoZero"/>
        <c:auto val="1"/>
        <c:lblAlgn val="ctr"/>
        <c:lblOffset val="100"/>
        <c:noMultiLvlLbl val="0"/>
      </c:catAx>
      <c:valAx>
        <c:axId val="282314152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282313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571500</xdr:colOff>
      <xdr:row>15</xdr:row>
      <xdr:rowOff>161925</xdr:rowOff>
    </xdr:from>
    <xdr:to>
      <xdr:col>12</xdr:col>
      <xdr:colOff>382714</xdr:colOff>
      <xdr:row>22</xdr:row>
      <xdr:rowOff>163639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2FA999D-4512-4BFE-BBF7-3BB1AD39CF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191500" y="3019425"/>
          <a:ext cx="1335214" cy="1335214"/>
        </a:xfrm>
        <a:prstGeom prst="rect">
          <a:avLst/>
        </a:prstGeom>
      </xdr:spPr>
    </xdr:pic>
    <xdr:clientData/>
  </xdr:twoCellAnchor>
  <xdr:twoCellAnchor>
    <xdr:from>
      <xdr:col>7</xdr:col>
      <xdr:colOff>523876</xdr:colOff>
      <xdr:row>0</xdr:row>
      <xdr:rowOff>141264</xdr:rowOff>
    </xdr:from>
    <xdr:to>
      <xdr:col>15</xdr:col>
      <xdr:colOff>733426</xdr:colOff>
      <xdr:row>15</xdr:row>
      <xdr:rowOff>16692</xdr:rowOff>
    </xdr:to>
    <xdr:sp macro="" textlink="">
      <xdr:nvSpPr>
        <xdr:cNvPr id="3" name="object 14">
          <a:extLst>
            <a:ext uri="{FF2B5EF4-FFF2-40B4-BE49-F238E27FC236}">
              <a16:creationId xmlns:a16="http://schemas.microsoft.com/office/drawing/2014/main" id="{B9E61556-EB23-46FF-B89A-A3C68F926BB3}"/>
            </a:ext>
          </a:extLst>
        </xdr:cNvPr>
        <xdr:cNvSpPr txBox="1">
          <a:spLocks noGrp="1"/>
        </xdr:cNvSpPr>
      </xdr:nvSpPr>
      <xdr:spPr>
        <a:xfrm>
          <a:off x="5857876" y="141264"/>
          <a:ext cx="6305550" cy="2732928"/>
        </a:xfrm>
        <a:prstGeom prst="rect">
          <a:avLst/>
        </a:prstGeom>
      </xdr:spPr>
      <xdr:txBody>
        <a:bodyPr vert="horz" wrap="square" lIns="0" tIns="12700" rIns="0" bIns="0" rtlCol="0" anchor="ctr">
          <a:spAutoFit/>
        </a:bodyPr>
        <a:lstStyle>
          <a:defPPr>
            <a:defRPr lang="es-CL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12700" algn="ctr">
            <a:spcBef>
              <a:spcPts val="100"/>
            </a:spcBef>
          </a:pPr>
          <a:r>
            <a:rPr lang="es-CL" sz="2800">
              <a:solidFill>
                <a:schemeClr val="accent1">
                  <a:lumMod val="50000"/>
                </a:schemeClr>
              </a:solidFill>
              <a:latin typeface="Univers Condensed" panose="020B0606020202060204" pitchFamily="34" charset="0"/>
              <a:cs typeface="Arial" panose="020B0604020202020204" pitchFamily="34" charset="0"/>
            </a:rPr>
            <a:t>METAS SANITARIAS LEY</a:t>
          </a:r>
          <a:r>
            <a:rPr lang="es-CL" sz="2800" baseline="0">
              <a:solidFill>
                <a:schemeClr val="accent1">
                  <a:lumMod val="50000"/>
                </a:schemeClr>
              </a:solidFill>
              <a:latin typeface="Univers Condensed" panose="020B0606020202060204" pitchFamily="34" charset="0"/>
              <a:cs typeface="Arial" panose="020B0604020202020204" pitchFamily="34" charset="0"/>
            </a:rPr>
            <a:t> 19.813 </a:t>
          </a:r>
        </a:p>
        <a:p>
          <a:pPr marL="12700" algn="ctr">
            <a:spcBef>
              <a:spcPts val="100"/>
            </a:spcBef>
          </a:pPr>
          <a:r>
            <a:rPr lang="es-CL" sz="2800" baseline="0">
              <a:solidFill>
                <a:schemeClr val="accent1">
                  <a:lumMod val="50000"/>
                </a:schemeClr>
              </a:solidFill>
              <a:latin typeface="Univers Condensed" panose="020B0606020202060204" pitchFamily="34" charset="0"/>
              <a:cs typeface="Arial" panose="020B0604020202020204" pitchFamily="34" charset="0"/>
            </a:rPr>
            <a:t>ATENCIÓN PRIMARIA DE SALUD</a:t>
          </a:r>
        </a:p>
        <a:p>
          <a:pPr marL="12700" algn="ctr">
            <a:spcBef>
              <a:spcPts val="100"/>
            </a:spcBef>
          </a:pPr>
          <a:endParaRPr lang="es-CL" sz="2800">
            <a:solidFill>
              <a:schemeClr val="accent1">
                <a:lumMod val="50000"/>
              </a:schemeClr>
            </a:solidFill>
            <a:latin typeface="Univers Condensed" panose="020B0606020202060204" pitchFamily="34" charset="0"/>
            <a:cs typeface="Arial" panose="020B0604020202020204" pitchFamily="34" charset="0"/>
          </a:endParaRPr>
        </a:p>
        <a:p>
          <a:pPr marL="12700" algn="ctr">
            <a:spcBef>
              <a:spcPts val="100"/>
            </a:spcBef>
          </a:pPr>
          <a:r>
            <a:rPr lang="es-CL" sz="2800">
              <a:solidFill>
                <a:schemeClr val="accent5">
                  <a:lumMod val="75000"/>
                </a:schemeClr>
              </a:solidFill>
              <a:latin typeface="Univers Condensed" panose="020B0606020202060204" pitchFamily="34" charset="0"/>
              <a:cs typeface="Arial" panose="020B0604020202020204" pitchFamily="34" charset="0"/>
            </a:rPr>
            <a:t>FORMULACIÓN 2023</a:t>
          </a:r>
        </a:p>
        <a:p>
          <a:pPr marL="12700" algn="ctr">
            <a:spcBef>
              <a:spcPts val="100"/>
            </a:spcBef>
          </a:pPr>
          <a:br>
            <a:rPr lang="es-CL" sz="2800">
              <a:solidFill>
                <a:schemeClr val="accent1">
                  <a:lumMod val="50000"/>
                </a:schemeClr>
              </a:solidFill>
              <a:latin typeface="Univers Condensed" panose="020B0606020202060204" pitchFamily="34" charset="0"/>
              <a:cs typeface="Arial" panose="020B0604020202020204" pitchFamily="34" charset="0"/>
            </a:rPr>
          </a:br>
          <a:r>
            <a:rPr lang="es-CL" sz="2800">
              <a:solidFill>
                <a:schemeClr val="accent1">
                  <a:lumMod val="50000"/>
                </a:schemeClr>
              </a:solidFill>
              <a:latin typeface="Univers Condensed" panose="020B0606020202060204" pitchFamily="34" charset="0"/>
              <a:cs typeface="Arial" panose="020B0604020202020204" pitchFamily="34" charset="0"/>
            </a:rPr>
            <a:t>SERVICIO DE SALUD ÑUBLE</a:t>
          </a:r>
          <a:endParaRPr sz="2800">
            <a:solidFill>
              <a:schemeClr val="accent1">
                <a:lumMod val="50000"/>
              </a:schemeClr>
            </a:solidFill>
            <a:latin typeface="Univers Condensed" panose="020B060602020206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15874</xdr:colOff>
      <xdr:row>47</xdr:row>
      <xdr:rowOff>0</xdr:rowOff>
    </xdr:from>
    <xdr:to>
      <xdr:col>8</xdr:col>
      <xdr:colOff>476250</xdr:colOff>
      <xdr:row>69</xdr:row>
      <xdr:rowOff>141338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593606E-B2D2-40DD-B744-6CFD0AF6DF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47</xdr:row>
      <xdr:rowOff>-1</xdr:rowOff>
    </xdr:from>
    <xdr:to>
      <xdr:col>14</xdr:col>
      <xdr:colOff>464343</xdr:colOff>
      <xdr:row>70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71B22F2-E057-4E8E-B892-6455B04CE7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63499</xdr:colOff>
      <xdr:row>47</xdr:row>
      <xdr:rowOff>-1</xdr:rowOff>
    </xdr:from>
    <xdr:to>
      <xdr:col>20</xdr:col>
      <xdr:colOff>523875</xdr:colOff>
      <xdr:row>70</xdr:row>
      <xdr:rowOff>11906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CBB66C0-6979-4E02-A8CD-A8682542FF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51592</xdr:colOff>
      <xdr:row>47</xdr:row>
      <xdr:rowOff>11905</xdr:rowOff>
    </xdr:from>
    <xdr:to>
      <xdr:col>27</xdr:col>
      <xdr:colOff>178593</xdr:colOff>
      <xdr:row>70</xdr:row>
      <xdr:rowOff>11905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CCB09235-9C1D-413D-9908-C999AE6D93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29</xdr:col>
      <xdr:colOff>0</xdr:colOff>
      <xdr:row>47</xdr:row>
      <xdr:rowOff>47624</xdr:rowOff>
    </xdr:from>
    <xdr:to>
      <xdr:col>33</xdr:col>
      <xdr:colOff>285749</xdr:colOff>
      <xdr:row>70</xdr:row>
      <xdr:rowOff>23813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FC60459-F7D8-4E76-AE9C-9BF9837E87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47</xdr:col>
      <xdr:colOff>83343</xdr:colOff>
      <xdr:row>46</xdr:row>
      <xdr:rowOff>130967</xdr:rowOff>
    </xdr:from>
    <xdr:to>
      <xdr:col>51</xdr:col>
      <xdr:colOff>190500</xdr:colOff>
      <xdr:row>70</xdr:row>
      <xdr:rowOff>71437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AACA5588-3F79-4E1E-8045-C57BD80EE3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59</xdr:col>
      <xdr:colOff>48758</xdr:colOff>
      <xdr:row>46</xdr:row>
      <xdr:rowOff>149677</xdr:rowOff>
    </xdr:from>
    <xdr:to>
      <xdr:col>66</xdr:col>
      <xdr:colOff>598713</xdr:colOff>
      <xdr:row>70</xdr:row>
      <xdr:rowOff>107155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6E3AE4DB-216A-4709-BCDE-7507C72C1C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35</xdr:col>
      <xdr:colOff>173491</xdr:colOff>
      <xdr:row>47</xdr:row>
      <xdr:rowOff>98651</xdr:rowOff>
    </xdr:from>
    <xdr:to>
      <xdr:col>39</xdr:col>
      <xdr:colOff>452437</xdr:colOff>
      <xdr:row>70</xdr:row>
      <xdr:rowOff>71437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96E69231-467E-484F-9DAD-9E8B777F25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41</xdr:col>
      <xdr:colOff>79564</xdr:colOff>
      <xdr:row>46</xdr:row>
      <xdr:rowOff>136262</xdr:rowOff>
    </xdr:from>
    <xdr:to>
      <xdr:col>45</xdr:col>
      <xdr:colOff>429948</xdr:colOff>
      <xdr:row>70</xdr:row>
      <xdr:rowOff>59531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368504E8-8FC4-4E27-B920-97F83069B1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70</xdr:col>
      <xdr:colOff>13607</xdr:colOff>
      <xdr:row>4</xdr:row>
      <xdr:rowOff>40822</xdr:rowOff>
    </xdr:from>
    <xdr:to>
      <xdr:col>89</xdr:col>
      <xdr:colOff>217715</xdr:colOff>
      <xdr:row>39</xdr:row>
      <xdr:rowOff>292743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D32F2999-4D82-440B-9AEC-1CBCC82ACC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48758</xdr:colOff>
      <xdr:row>46</xdr:row>
      <xdr:rowOff>149677</xdr:rowOff>
    </xdr:from>
    <xdr:to>
      <xdr:col>16</xdr:col>
      <xdr:colOff>598713</xdr:colOff>
      <xdr:row>70</xdr:row>
      <xdr:rowOff>107155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69345D3-5254-4FDC-B833-AE1137382F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13607</xdr:colOff>
      <xdr:row>4</xdr:row>
      <xdr:rowOff>40822</xdr:rowOff>
    </xdr:from>
    <xdr:to>
      <xdr:col>39</xdr:col>
      <xdr:colOff>217715</xdr:colOff>
      <xdr:row>39</xdr:row>
      <xdr:rowOff>292743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164C9A56-5E84-4A04-8580-EAEE010AE2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ni%20Pro%205/Desktop/01%20para%20reunion%20Consejo%20T&#233;cnico%20Consultivo/2%20Cumplimiento%20Programa%20Odontol&#243;gico%202022%20-%20Atenci&#243;n%20PrimariaV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5527551-0/Desktop/Control%20de%20Gesti&#243;n%202/3.%20%2019.813%20APS%20-%20Oficial/2022/00%20Evaluaci&#243;n%20APS%202022/Evaluaci&#243;n%202022/REM_P12_Diciembre_2022%20(valores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9164328-6/Desktop/2022/Metas/calculo%20poblacion%20estimada%20%202022%20fin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5527551-0/Desktop/Control%20de%20Gesti&#243;n%202/3.%20%2019.813%20APS%20-%20Oficial/2022/00%20Evaluaci&#243;n%20APS%202022/Evaluaci&#243;n%202022/REM_03%20Consolidado%20a%20Diciembre%20A&#241;o%202022%20(valores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5527551-0/Desktop/Control%20de%20Gesti&#243;n%202/3.%20%2019.813%20APS%20-%20Oficial/2022/00%20Evaluaci&#243;n%20APS%202022/Evaluaci&#243;n%202022/REM_P12_Diciembre_2022%20(valores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5527551-0/Desktop/Control%20de%20Gesti&#243;n%202/3.%20%2019.813%20APS%20-%20Oficial/2022/00%20Evaluaci&#243;n%20APS%202022/Evaluaci&#243;n%202022/REM_09%20Consolidado%20a%20Diciembre%20A&#241;o%202022%20(valores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5527551-0/Desktop/Control%20de%20Gesti&#243;n%202/3.%20%2019.813%20APS%20-%20Oficial/2022/00%20Evaluaci&#243;n%20APS%202022/Evaluaci&#243;n%202022/REM_P04_Diciembre_2022%20(valores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5527551-0/AppData/Local/Microsoft/Windows/INetCache/Content.Outlook/2LWOEV7Z/Evaluaci&#243;n%20Metas%20Sanitarias%20Ley%2019.813%20-Diciembre%202022%20(SR%20EPOC%20ASMA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SHBOARD_mun"/>
      <sheetName val="DASHBOARD_dep"/>
      <sheetName val="tablas"/>
      <sheetName val="Hoja2"/>
      <sheetName val="BASE_DATOS"/>
      <sheetName val="td reu"/>
      <sheetName val="PARA REU"/>
      <sheetName val="CUMPLIMIENTO_MUNICIPALES"/>
      <sheetName val="Hoja1"/>
      <sheetName val="CUMPLIMIENTO_DEPENDIENTES"/>
      <sheetName val="METAS IAAPS"/>
      <sheetName val="METAS_SANITARIAS"/>
      <sheetName val="Hoja3"/>
      <sheetName val="ENS"/>
      <sheetName val="ENS - Pautas"/>
      <sheetName val="ENS- ceod(buscar)"/>
      <sheetName val="ENS - ceod"/>
      <sheetName val="tabla_din"/>
      <sheetName val="bd-transformada"/>
      <sheetName val="2 Cumplimiento Programa Odont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Consolidado"/>
      <sheetName val="DIGUILLIN"/>
      <sheetName val="16101"/>
      <sheetName val="117010"/>
      <sheetName val="117301"/>
      <sheetName val="117701"/>
      <sheetName val="117302"/>
      <sheetName val="117702"/>
      <sheetName val="117799"/>
      <sheetName val="117405"/>
      <sheetName val="117303"/>
      <sheetName val="117410"/>
      <sheetName val="117304"/>
      <sheetName val="200261"/>
      <sheetName val="117322"/>
      <sheetName val="117324"/>
      <sheetName val="117330"/>
      <sheetName val="16102"/>
      <sheetName val="117103"/>
      <sheetName val="117326"/>
      <sheetName val="117426"/>
      <sheetName val="16103"/>
      <sheetName val="117328"/>
      <sheetName val="117413"/>
      <sheetName val="117414"/>
      <sheetName val="117331"/>
      <sheetName val="16104"/>
      <sheetName val="117107"/>
      <sheetName val="117435"/>
      <sheetName val="117436"/>
      <sheetName val="117437"/>
      <sheetName val="117438"/>
      <sheetName val="117457"/>
      <sheetName val="117473"/>
      <sheetName val="117474"/>
      <sheetName val="117475"/>
      <sheetName val="117476"/>
      <sheetName val="117477"/>
      <sheetName val="16105"/>
      <sheetName val="117310"/>
      <sheetName val="117430"/>
      <sheetName val="117431"/>
      <sheetName val="16106"/>
      <sheetName val="117317"/>
      <sheetName val="117409"/>
      <sheetName val="117469"/>
      <sheetName val="16107"/>
      <sheetName val="117306"/>
      <sheetName val="117706"/>
      <sheetName val="117448"/>
      <sheetName val="117449"/>
      <sheetName val="117472"/>
      <sheetName val="16108"/>
      <sheetName val="117308"/>
      <sheetName val="117454"/>
      <sheetName val="117319"/>
      <sheetName val="117455"/>
      <sheetName val="16109"/>
      <sheetName val="117104"/>
      <sheetName val="117315"/>
      <sheetName val="117458"/>
      <sheetName val="ITATA"/>
      <sheetName val="16201"/>
      <sheetName val="117106"/>
      <sheetName val="117434"/>
      <sheetName val="16202"/>
      <sheetName val="117307"/>
      <sheetName val="117451"/>
      <sheetName val="117452"/>
      <sheetName val="16203"/>
      <sheetName val="117108"/>
      <sheetName val="117439"/>
      <sheetName val="117442"/>
      <sheetName val="117445"/>
      <sheetName val="16204"/>
      <sheetName val="117314"/>
      <sheetName val="117433"/>
      <sheetName val="117463"/>
      <sheetName val="16205"/>
      <sheetName val="117305"/>
      <sheetName val="117447"/>
      <sheetName val="117459"/>
      <sheetName val="16206"/>
      <sheetName val="117316"/>
      <sheetName val="117427"/>
      <sheetName val="117465"/>
      <sheetName val="16207"/>
      <sheetName val="117327"/>
      <sheetName val="117443"/>
      <sheetName val="117444"/>
      <sheetName val="117446"/>
      <sheetName val="PUNILLA"/>
      <sheetName val="16301"/>
      <sheetName val="117329"/>
      <sheetName val="117729"/>
      <sheetName val="117311"/>
      <sheetName val="117415"/>
      <sheetName val="117416"/>
      <sheetName val="117421"/>
      <sheetName val="117423"/>
      <sheetName val="117461"/>
      <sheetName val="117462"/>
      <sheetName val="16302"/>
      <sheetName val="117318"/>
      <sheetName val="117401"/>
      <sheetName val="117403"/>
      <sheetName val="117406"/>
      <sheetName val="117407"/>
      <sheetName val="117325"/>
      <sheetName val="16303"/>
      <sheetName val="117313"/>
      <sheetName val="117418"/>
      <sheetName val="117419"/>
      <sheetName val="117422"/>
      <sheetName val="117464"/>
      <sheetName val="117468"/>
      <sheetName val="16304"/>
      <sheetName val="117309"/>
      <sheetName val="117467"/>
      <sheetName val="117470"/>
      <sheetName val="16305"/>
      <sheetName val="117312"/>
      <sheetName val="11747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1">
          <cell r="B11">
            <v>852</v>
          </cell>
        </row>
      </sheetData>
      <sheetData sheetId="8">
        <row r="11">
          <cell r="B11">
            <v>0</v>
          </cell>
        </row>
      </sheetData>
      <sheetData sheetId="9">
        <row r="11">
          <cell r="B11">
            <v>0</v>
          </cell>
        </row>
      </sheetData>
      <sheetData sheetId="10">
        <row r="11">
          <cell r="B11">
            <v>0</v>
          </cell>
        </row>
      </sheetData>
      <sheetData sheetId="11">
        <row r="11">
          <cell r="B11">
            <v>401</v>
          </cell>
        </row>
        <row r="12">
          <cell r="B12">
            <v>384</v>
          </cell>
        </row>
        <row r="13">
          <cell r="B13">
            <v>348</v>
          </cell>
        </row>
        <row r="14">
          <cell r="B14">
            <v>303</v>
          </cell>
        </row>
        <row r="15">
          <cell r="B15">
            <v>395</v>
          </cell>
        </row>
        <row r="16">
          <cell r="B16">
            <v>377</v>
          </cell>
        </row>
        <row r="17">
          <cell r="B17">
            <v>341</v>
          </cell>
        </row>
        <row r="18">
          <cell r="B18">
            <v>273</v>
          </cell>
        </row>
      </sheetData>
      <sheetData sheetId="12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3">
        <row r="11">
          <cell r="B11">
            <v>367</v>
          </cell>
        </row>
        <row r="12">
          <cell r="B12">
            <v>311</v>
          </cell>
        </row>
        <row r="13">
          <cell r="B13">
            <v>313</v>
          </cell>
        </row>
        <row r="14">
          <cell r="B14">
            <v>299</v>
          </cell>
        </row>
        <row r="15">
          <cell r="B15">
            <v>361</v>
          </cell>
        </row>
        <row r="16">
          <cell r="B16">
            <v>406</v>
          </cell>
        </row>
        <row r="17">
          <cell r="B17">
            <v>344</v>
          </cell>
        </row>
        <row r="18">
          <cell r="B18">
            <v>286</v>
          </cell>
        </row>
      </sheetData>
      <sheetData sheetId="14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5">
        <row r="11">
          <cell r="B11">
            <v>51</v>
          </cell>
        </row>
        <row r="12">
          <cell r="B12">
            <v>59</v>
          </cell>
        </row>
        <row r="13">
          <cell r="B13">
            <v>64</v>
          </cell>
        </row>
        <row r="14">
          <cell r="B14">
            <v>62</v>
          </cell>
        </row>
        <row r="15">
          <cell r="B15">
            <v>70</v>
          </cell>
        </row>
        <row r="16">
          <cell r="B16">
            <v>76</v>
          </cell>
        </row>
        <row r="17">
          <cell r="B17">
            <v>85</v>
          </cell>
        </row>
        <row r="18">
          <cell r="B18">
            <v>54</v>
          </cell>
        </row>
      </sheetData>
      <sheetData sheetId="16">
        <row r="11">
          <cell r="B11">
            <v>495</v>
          </cell>
        </row>
        <row r="12">
          <cell r="B12">
            <v>492</v>
          </cell>
        </row>
        <row r="13">
          <cell r="B13">
            <v>482</v>
          </cell>
        </row>
        <row r="14">
          <cell r="B14">
            <v>416</v>
          </cell>
        </row>
        <row r="15">
          <cell r="B15">
            <v>356</v>
          </cell>
        </row>
        <row r="16">
          <cell r="B16">
            <v>498</v>
          </cell>
        </row>
        <row r="17">
          <cell r="B17">
            <v>537</v>
          </cell>
        </row>
        <row r="18">
          <cell r="B18">
            <v>449</v>
          </cell>
        </row>
      </sheetData>
      <sheetData sheetId="17">
        <row r="11">
          <cell r="B11">
            <v>409</v>
          </cell>
        </row>
        <row r="12">
          <cell r="B12">
            <v>365</v>
          </cell>
        </row>
        <row r="13">
          <cell r="B13">
            <v>283</v>
          </cell>
        </row>
        <row r="14">
          <cell r="B14">
            <v>261</v>
          </cell>
        </row>
        <row r="15">
          <cell r="B15">
            <v>262</v>
          </cell>
        </row>
        <row r="16">
          <cell r="B16">
            <v>329</v>
          </cell>
        </row>
        <row r="17">
          <cell r="B17">
            <v>254</v>
          </cell>
        </row>
        <row r="18">
          <cell r="B18">
            <v>157</v>
          </cell>
        </row>
      </sheetData>
      <sheetData sheetId="18"/>
      <sheetData sheetId="19"/>
      <sheetData sheetId="20">
        <row r="11">
          <cell r="B11">
            <v>223</v>
          </cell>
        </row>
        <row r="12">
          <cell r="B12">
            <v>239</v>
          </cell>
        </row>
        <row r="13">
          <cell r="B13">
            <v>191</v>
          </cell>
        </row>
        <row r="14">
          <cell r="B14">
            <v>189</v>
          </cell>
        </row>
        <row r="15">
          <cell r="B15">
            <v>260</v>
          </cell>
        </row>
        <row r="16">
          <cell r="B16">
            <v>263</v>
          </cell>
        </row>
        <row r="17">
          <cell r="B17">
            <v>209</v>
          </cell>
        </row>
        <row r="18">
          <cell r="B18">
            <v>166</v>
          </cell>
        </row>
      </sheetData>
      <sheetData sheetId="21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22"/>
      <sheetData sheetId="23">
        <row r="11">
          <cell r="B11">
            <v>393</v>
          </cell>
        </row>
        <row r="12">
          <cell r="B12">
            <v>395</v>
          </cell>
        </row>
        <row r="13">
          <cell r="B13">
            <v>341</v>
          </cell>
        </row>
        <row r="14">
          <cell r="B14">
            <v>284</v>
          </cell>
        </row>
        <row r="15">
          <cell r="B15">
            <v>372</v>
          </cell>
        </row>
        <row r="16">
          <cell r="B16">
            <v>521</v>
          </cell>
        </row>
        <row r="17">
          <cell r="B17">
            <v>460</v>
          </cell>
        </row>
        <row r="18">
          <cell r="B18">
            <v>353</v>
          </cell>
        </row>
      </sheetData>
      <sheetData sheetId="24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25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26">
        <row r="11">
          <cell r="B11">
            <v>236</v>
          </cell>
        </row>
      </sheetData>
      <sheetData sheetId="27"/>
      <sheetData sheetId="28"/>
      <sheetData sheetId="29">
        <row r="11">
          <cell r="B11">
            <v>73</v>
          </cell>
        </row>
        <row r="12">
          <cell r="B12">
            <v>70</v>
          </cell>
        </row>
        <row r="13">
          <cell r="B13">
            <v>66</v>
          </cell>
        </row>
        <row r="14">
          <cell r="B14">
            <v>92</v>
          </cell>
        </row>
        <row r="15">
          <cell r="B15">
            <v>95</v>
          </cell>
        </row>
        <row r="16">
          <cell r="B16">
            <v>103</v>
          </cell>
        </row>
        <row r="17">
          <cell r="B17">
            <v>90</v>
          </cell>
        </row>
        <row r="18">
          <cell r="B18">
            <v>90</v>
          </cell>
        </row>
      </sheetData>
      <sheetData sheetId="30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1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2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3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4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5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6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7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8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9"/>
      <sheetData sheetId="40">
        <row r="11">
          <cell r="B11">
            <v>193</v>
          </cell>
        </row>
        <row r="12">
          <cell r="B12">
            <v>150</v>
          </cell>
        </row>
        <row r="13">
          <cell r="B13">
            <v>151</v>
          </cell>
        </row>
        <row r="14">
          <cell r="B14">
            <v>152</v>
          </cell>
        </row>
        <row r="15">
          <cell r="B15">
            <v>179</v>
          </cell>
        </row>
        <row r="16">
          <cell r="B16">
            <v>176</v>
          </cell>
        </row>
        <row r="17">
          <cell r="B17">
            <v>192</v>
          </cell>
        </row>
        <row r="18">
          <cell r="B18">
            <v>121</v>
          </cell>
        </row>
      </sheetData>
      <sheetData sheetId="41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42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43"/>
      <sheetData sheetId="44">
        <row r="11">
          <cell r="B11">
            <v>289</v>
          </cell>
        </row>
        <row r="12">
          <cell r="B12">
            <v>333</v>
          </cell>
        </row>
        <row r="13">
          <cell r="B13">
            <v>291</v>
          </cell>
        </row>
        <row r="14">
          <cell r="B14">
            <v>286</v>
          </cell>
        </row>
        <row r="15">
          <cell r="B15">
            <v>310</v>
          </cell>
        </row>
        <row r="16">
          <cell r="B16">
            <v>348</v>
          </cell>
        </row>
        <row r="17">
          <cell r="B17">
            <v>323</v>
          </cell>
        </row>
        <row r="18">
          <cell r="B18">
            <v>250</v>
          </cell>
        </row>
      </sheetData>
      <sheetData sheetId="45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46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47"/>
      <sheetData sheetId="48">
        <row r="11">
          <cell r="B11">
            <v>367</v>
          </cell>
        </row>
        <row r="12">
          <cell r="B12">
            <v>328</v>
          </cell>
        </row>
        <row r="13">
          <cell r="B13">
            <v>333</v>
          </cell>
        </row>
        <row r="14">
          <cell r="B14">
            <v>285</v>
          </cell>
        </row>
        <row r="15">
          <cell r="B15">
            <v>384</v>
          </cell>
        </row>
        <row r="16">
          <cell r="B16">
            <v>412</v>
          </cell>
        </row>
        <row r="17">
          <cell r="B17">
            <v>365</v>
          </cell>
        </row>
        <row r="18">
          <cell r="B18">
            <v>345</v>
          </cell>
        </row>
      </sheetData>
      <sheetData sheetId="49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50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51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52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53"/>
      <sheetData sheetId="54">
        <row r="11">
          <cell r="B11">
            <v>191</v>
          </cell>
        </row>
        <row r="12">
          <cell r="B12">
            <v>179</v>
          </cell>
        </row>
        <row r="13">
          <cell r="B13">
            <v>196</v>
          </cell>
        </row>
        <row r="14">
          <cell r="B14">
            <v>183</v>
          </cell>
        </row>
        <row r="15">
          <cell r="B15">
            <v>190</v>
          </cell>
        </row>
        <row r="16">
          <cell r="B16">
            <v>246</v>
          </cell>
        </row>
        <row r="17">
          <cell r="B17">
            <v>203</v>
          </cell>
        </row>
        <row r="18">
          <cell r="B18">
            <v>179</v>
          </cell>
        </row>
      </sheetData>
      <sheetData sheetId="55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56">
        <row r="11">
          <cell r="B11">
            <v>81</v>
          </cell>
        </row>
        <row r="12">
          <cell r="B12">
            <v>99</v>
          </cell>
        </row>
        <row r="13">
          <cell r="B13">
            <v>93</v>
          </cell>
        </row>
        <row r="14">
          <cell r="B14">
            <v>72</v>
          </cell>
        </row>
        <row r="15">
          <cell r="B15">
            <v>84</v>
          </cell>
        </row>
        <row r="16">
          <cell r="B16">
            <v>111</v>
          </cell>
        </row>
        <row r="17">
          <cell r="B17">
            <v>111</v>
          </cell>
        </row>
        <row r="18">
          <cell r="B18">
            <v>62</v>
          </cell>
        </row>
      </sheetData>
      <sheetData sheetId="57">
        <row r="11">
          <cell r="B11">
            <v>101</v>
          </cell>
        </row>
        <row r="12">
          <cell r="B12">
            <v>96</v>
          </cell>
        </row>
        <row r="13">
          <cell r="B13">
            <v>91</v>
          </cell>
        </row>
        <row r="14">
          <cell r="B14">
            <v>96</v>
          </cell>
        </row>
        <row r="15">
          <cell r="B15">
            <v>115</v>
          </cell>
        </row>
        <row r="16">
          <cell r="B16">
            <v>121</v>
          </cell>
        </row>
        <row r="17">
          <cell r="B17">
            <v>87</v>
          </cell>
        </row>
        <row r="18">
          <cell r="B18">
            <v>70</v>
          </cell>
        </row>
      </sheetData>
      <sheetData sheetId="58"/>
      <sheetData sheetId="59"/>
      <sheetData sheetId="60">
        <row r="11">
          <cell r="B11">
            <v>63</v>
          </cell>
        </row>
        <row r="12">
          <cell r="B12">
            <v>85</v>
          </cell>
        </row>
        <row r="13">
          <cell r="B13">
            <v>77</v>
          </cell>
        </row>
        <row r="14">
          <cell r="B14">
            <v>88</v>
          </cell>
        </row>
        <row r="15">
          <cell r="B15">
            <v>128</v>
          </cell>
        </row>
        <row r="16">
          <cell r="B16">
            <v>99</v>
          </cell>
        </row>
        <row r="17">
          <cell r="B17">
            <v>106</v>
          </cell>
        </row>
        <row r="18">
          <cell r="B18">
            <v>73</v>
          </cell>
        </row>
      </sheetData>
      <sheetData sheetId="61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62"/>
      <sheetData sheetId="63"/>
      <sheetData sheetId="64"/>
      <sheetData sheetId="65"/>
      <sheetData sheetId="66"/>
      <sheetData sheetId="67">
        <row r="11">
          <cell r="B11">
            <v>82</v>
          </cell>
        </row>
      </sheetData>
      <sheetData sheetId="68">
        <row r="11">
          <cell r="B11">
            <v>0</v>
          </cell>
        </row>
      </sheetData>
      <sheetData sheetId="69">
        <row r="11">
          <cell r="B11">
            <v>0</v>
          </cell>
        </row>
      </sheetData>
      <sheetData sheetId="70"/>
      <sheetData sheetId="71"/>
      <sheetData sheetId="72">
        <row r="11">
          <cell r="B11">
            <v>30</v>
          </cell>
        </row>
      </sheetData>
      <sheetData sheetId="73">
        <row r="11">
          <cell r="B11">
            <v>0</v>
          </cell>
        </row>
      </sheetData>
      <sheetData sheetId="74">
        <row r="11">
          <cell r="B11">
            <v>0</v>
          </cell>
        </row>
      </sheetData>
      <sheetData sheetId="75"/>
      <sheetData sheetId="76">
        <row r="11">
          <cell r="B11">
            <v>83</v>
          </cell>
        </row>
      </sheetData>
      <sheetData sheetId="77">
        <row r="11">
          <cell r="B11">
            <v>0</v>
          </cell>
        </row>
      </sheetData>
      <sheetData sheetId="78">
        <row r="11">
          <cell r="B11">
            <v>0</v>
          </cell>
        </row>
      </sheetData>
      <sheetData sheetId="79"/>
      <sheetData sheetId="80">
        <row r="11">
          <cell r="B11">
            <v>94</v>
          </cell>
        </row>
      </sheetData>
      <sheetData sheetId="81">
        <row r="11">
          <cell r="B11">
            <v>0</v>
          </cell>
        </row>
      </sheetData>
      <sheetData sheetId="82">
        <row r="11">
          <cell r="B11">
            <v>0</v>
          </cell>
        </row>
      </sheetData>
      <sheetData sheetId="83"/>
      <sheetData sheetId="84">
        <row r="11">
          <cell r="B11">
            <v>89</v>
          </cell>
        </row>
      </sheetData>
      <sheetData sheetId="85">
        <row r="11">
          <cell r="B11">
            <v>0</v>
          </cell>
        </row>
      </sheetData>
      <sheetData sheetId="86">
        <row r="11">
          <cell r="B11">
            <v>0</v>
          </cell>
        </row>
      </sheetData>
      <sheetData sheetId="87"/>
      <sheetData sheetId="88">
        <row r="11">
          <cell r="B11">
            <v>80</v>
          </cell>
        </row>
      </sheetData>
      <sheetData sheetId="89">
        <row r="11">
          <cell r="B11">
            <v>0</v>
          </cell>
        </row>
      </sheetData>
      <sheetData sheetId="90">
        <row r="11">
          <cell r="B11">
            <v>0</v>
          </cell>
        </row>
      </sheetData>
      <sheetData sheetId="91">
        <row r="11">
          <cell r="B11">
            <v>0</v>
          </cell>
        </row>
      </sheetData>
      <sheetData sheetId="92"/>
      <sheetData sheetId="93"/>
      <sheetData sheetId="94">
        <row r="11">
          <cell r="B11">
            <v>550</v>
          </cell>
        </row>
      </sheetData>
      <sheetData sheetId="95">
        <row r="11">
          <cell r="B11">
            <v>0</v>
          </cell>
        </row>
      </sheetData>
      <sheetData sheetId="96">
        <row r="11">
          <cell r="B11">
            <v>590</v>
          </cell>
        </row>
      </sheetData>
      <sheetData sheetId="97">
        <row r="11">
          <cell r="B11">
            <v>0</v>
          </cell>
        </row>
      </sheetData>
      <sheetData sheetId="98">
        <row r="11">
          <cell r="B11">
            <v>0</v>
          </cell>
        </row>
      </sheetData>
      <sheetData sheetId="99">
        <row r="11">
          <cell r="B11">
            <v>0</v>
          </cell>
        </row>
      </sheetData>
      <sheetData sheetId="100">
        <row r="11">
          <cell r="B11">
            <v>0</v>
          </cell>
        </row>
      </sheetData>
      <sheetData sheetId="101">
        <row r="11">
          <cell r="B11">
            <v>0</v>
          </cell>
        </row>
      </sheetData>
      <sheetData sheetId="102">
        <row r="11">
          <cell r="B11">
            <v>0</v>
          </cell>
        </row>
      </sheetData>
      <sheetData sheetId="103"/>
      <sheetData sheetId="104">
        <row r="11">
          <cell r="B11">
            <v>423</v>
          </cell>
        </row>
      </sheetData>
      <sheetData sheetId="105">
        <row r="11">
          <cell r="B11">
            <v>0</v>
          </cell>
        </row>
      </sheetData>
      <sheetData sheetId="106">
        <row r="11">
          <cell r="B11">
            <v>0</v>
          </cell>
        </row>
      </sheetData>
      <sheetData sheetId="107">
        <row r="11">
          <cell r="B11">
            <v>0</v>
          </cell>
        </row>
      </sheetData>
      <sheetData sheetId="108">
        <row r="11">
          <cell r="B11">
            <v>0</v>
          </cell>
        </row>
      </sheetData>
      <sheetData sheetId="109">
        <row r="11">
          <cell r="B11">
            <v>98</v>
          </cell>
        </row>
      </sheetData>
      <sheetData sheetId="110"/>
      <sheetData sheetId="111">
        <row r="11">
          <cell r="B11">
            <v>346</v>
          </cell>
        </row>
      </sheetData>
      <sheetData sheetId="112">
        <row r="11">
          <cell r="B11">
            <v>0</v>
          </cell>
        </row>
      </sheetData>
      <sheetData sheetId="113">
        <row r="11">
          <cell r="B11">
            <v>0</v>
          </cell>
        </row>
      </sheetData>
      <sheetData sheetId="114">
        <row r="11">
          <cell r="B11">
            <v>0</v>
          </cell>
        </row>
      </sheetData>
      <sheetData sheetId="115">
        <row r="11">
          <cell r="B11">
            <v>0</v>
          </cell>
        </row>
      </sheetData>
      <sheetData sheetId="116">
        <row r="11">
          <cell r="B11">
            <v>0</v>
          </cell>
        </row>
      </sheetData>
      <sheetData sheetId="117"/>
      <sheetData sheetId="118">
        <row r="11">
          <cell r="B11">
            <v>121</v>
          </cell>
        </row>
      </sheetData>
      <sheetData sheetId="119">
        <row r="11">
          <cell r="B11">
            <v>0</v>
          </cell>
        </row>
      </sheetData>
      <sheetData sheetId="120">
        <row r="11">
          <cell r="B11">
            <v>0</v>
          </cell>
        </row>
      </sheetData>
      <sheetData sheetId="121"/>
      <sheetData sheetId="122">
        <row r="11">
          <cell r="B11">
            <v>247</v>
          </cell>
        </row>
      </sheetData>
      <sheetData sheetId="123">
        <row r="11">
          <cell r="B11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TA "/>
      <sheetName val="DM2 "/>
    </sheetNames>
    <sheetDataSet>
      <sheetData sheetId="0" refreshError="1">
        <row r="11">
          <cell r="J11">
            <v>10909.142</v>
          </cell>
        </row>
        <row r="18">
          <cell r="J18">
            <v>4986.7539999999999</v>
          </cell>
        </row>
        <row r="19">
          <cell r="J19">
            <v>2628.3510000000001</v>
          </cell>
        </row>
        <row r="20">
          <cell r="J20">
            <v>3484.3290000000002</v>
          </cell>
        </row>
        <row r="25">
          <cell r="J25">
            <v>5505.9030000000002</v>
          </cell>
        </row>
        <row r="26">
          <cell r="J26">
            <v>1018.9110000000001</v>
          </cell>
        </row>
        <row r="28">
          <cell r="J28">
            <v>6226.1550000000007</v>
          </cell>
        </row>
        <row r="29">
          <cell r="J29">
            <v>7744.5040000000008</v>
          </cell>
        </row>
        <row r="30">
          <cell r="J30">
            <v>3182.8180000000002</v>
          </cell>
        </row>
        <row r="33">
          <cell r="J33">
            <v>3367.4110000000001</v>
          </cell>
        </row>
        <row r="34">
          <cell r="J34">
            <v>2354.02</v>
          </cell>
        </row>
        <row r="35">
          <cell r="J35">
            <v>1649.67</v>
          </cell>
        </row>
        <row r="36">
          <cell r="J36">
            <v>133.42400000000001</v>
          </cell>
        </row>
        <row r="37">
          <cell r="J37">
            <v>1716.7170000000001</v>
          </cell>
        </row>
        <row r="38">
          <cell r="J38">
            <v>1129.396</v>
          </cell>
        </row>
        <row r="39">
          <cell r="J39">
            <v>873.34799999999996</v>
          </cell>
        </row>
        <row r="43">
          <cell r="J43">
            <v>1652.4189999999999</v>
          </cell>
        </row>
        <row r="44">
          <cell r="J44">
            <v>1801.0730000000001</v>
          </cell>
        </row>
        <row r="45">
          <cell r="J45">
            <v>2259.7690000000002</v>
          </cell>
        </row>
        <row r="46">
          <cell r="J46">
            <v>1579.5520000000001</v>
          </cell>
        </row>
        <row r="47">
          <cell r="J47">
            <v>4946.3179999999993</v>
          </cell>
        </row>
        <row r="48">
          <cell r="J48">
            <v>1652.9490000000001</v>
          </cell>
        </row>
        <row r="50">
          <cell r="J50">
            <v>2290.6109999999999</v>
          </cell>
        </row>
        <row r="51">
          <cell r="J51">
            <v>1262.8589999999999</v>
          </cell>
        </row>
        <row r="52">
          <cell r="J52">
            <v>1085.7090000000001</v>
          </cell>
        </row>
        <row r="53">
          <cell r="J53">
            <v>1326.6660000000002</v>
          </cell>
        </row>
      </sheetData>
      <sheetData sheetId="1" refreshError="1">
        <row r="12">
          <cell r="J12">
            <v>4822.0259999999998</v>
          </cell>
        </row>
        <row r="13">
          <cell r="J13">
            <v>1947.9749999999999</v>
          </cell>
        </row>
        <row r="14">
          <cell r="J14">
            <v>1215.567</v>
          </cell>
        </row>
        <row r="15">
          <cell r="J15">
            <v>2458.8000000000002</v>
          </cell>
        </row>
        <row r="16">
          <cell r="J16">
            <v>2691.4949999999999</v>
          </cell>
        </row>
        <row r="17">
          <cell r="J17">
            <v>462.71100000000001</v>
          </cell>
        </row>
        <row r="19">
          <cell r="J19">
            <v>2210.5950000000003</v>
          </cell>
        </row>
        <row r="20">
          <cell r="J20">
            <v>1172.817</v>
          </cell>
        </row>
        <row r="21">
          <cell r="J21">
            <v>1528.143</v>
          </cell>
        </row>
        <row r="26">
          <cell r="J26">
            <v>2440.5839999999998</v>
          </cell>
        </row>
        <row r="27">
          <cell r="J27">
            <v>449.36699999999996</v>
          </cell>
        </row>
        <row r="29">
          <cell r="J29">
            <v>2736.1259999999997</v>
          </cell>
        </row>
        <row r="30">
          <cell r="J30">
            <v>3388.9679999999998</v>
          </cell>
        </row>
        <row r="31">
          <cell r="J31">
            <v>1395.7529999999999</v>
          </cell>
        </row>
        <row r="34">
          <cell r="J34">
            <v>1460.6880000000001</v>
          </cell>
        </row>
        <row r="35">
          <cell r="J35">
            <v>1030.365</v>
          </cell>
        </row>
        <row r="36">
          <cell r="J36">
            <v>716.03099999999995</v>
          </cell>
        </row>
        <row r="37">
          <cell r="J37">
            <v>56.835000000000001</v>
          </cell>
        </row>
        <row r="38">
          <cell r="J38">
            <v>744.97800000000007</v>
          </cell>
        </row>
        <row r="39">
          <cell r="J39">
            <v>508.11299999999994</v>
          </cell>
        </row>
        <row r="40">
          <cell r="J40">
            <v>379.62299999999999</v>
          </cell>
        </row>
        <row r="44">
          <cell r="J44">
            <v>721.76400000000001</v>
          </cell>
        </row>
        <row r="45">
          <cell r="J45">
            <v>780.96900000000005</v>
          </cell>
        </row>
        <row r="46">
          <cell r="J46">
            <v>993.65699999999993</v>
          </cell>
        </row>
        <row r="48">
          <cell r="J48">
            <v>2156.5410000000002</v>
          </cell>
        </row>
        <row r="49">
          <cell r="J49">
            <v>718.41300000000001</v>
          </cell>
        </row>
        <row r="51">
          <cell r="J51">
            <v>998.24399999999991</v>
          </cell>
        </row>
        <row r="52">
          <cell r="J52">
            <v>552.33299999999997</v>
          </cell>
        </row>
        <row r="53">
          <cell r="J53">
            <v>479.03099999999995</v>
          </cell>
        </row>
        <row r="54">
          <cell r="J54">
            <v>581.54700000000003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Consolidado"/>
      <sheetName val="DIGUILLIN"/>
      <sheetName val="16101"/>
      <sheetName val="117010"/>
      <sheetName val="117011"/>
      <sheetName val="117101"/>
      <sheetName val="117301"/>
      <sheetName val="117701"/>
      <sheetName val="117302"/>
      <sheetName val="117702"/>
      <sheetName val="117799"/>
      <sheetName val="117405"/>
      <sheetName val="117303"/>
      <sheetName val="117410"/>
      <sheetName val="117304"/>
      <sheetName val="200261"/>
      <sheetName val="117322"/>
      <sheetName val="117324"/>
      <sheetName val="117330"/>
      <sheetName val="117601"/>
      <sheetName val="200558"/>
      <sheetName val="16102"/>
      <sheetName val="117103"/>
      <sheetName val="117326"/>
      <sheetName val="117426"/>
      <sheetName val="16103"/>
      <sheetName val="117328"/>
      <sheetName val="117413"/>
      <sheetName val="117414"/>
      <sheetName val="117331"/>
      <sheetName val="200718"/>
      <sheetName val="16104"/>
      <sheetName val="117107"/>
      <sheetName val="117435"/>
      <sheetName val="117436"/>
      <sheetName val="117437"/>
      <sheetName val="117438"/>
      <sheetName val="117457"/>
      <sheetName val="117473"/>
      <sheetName val="117474"/>
      <sheetName val="117475"/>
      <sheetName val="117476"/>
      <sheetName val="117477"/>
      <sheetName val="16105"/>
      <sheetName val="117310"/>
      <sheetName val="117430"/>
      <sheetName val="117431"/>
      <sheetName val="16106"/>
      <sheetName val="117317"/>
      <sheetName val="117409"/>
      <sheetName val="117469"/>
      <sheetName val="16107"/>
      <sheetName val="117306"/>
      <sheetName val="117706"/>
      <sheetName val="117448"/>
      <sheetName val="117449"/>
      <sheetName val="117472"/>
      <sheetName val="16108"/>
      <sheetName val="117308"/>
      <sheetName val="117454"/>
      <sheetName val="117319"/>
      <sheetName val="117455"/>
      <sheetName val="16109"/>
      <sheetName val="117104"/>
      <sheetName val="117315"/>
      <sheetName val="117458"/>
      <sheetName val="ITATA"/>
      <sheetName val="16201"/>
      <sheetName val="117106"/>
      <sheetName val="117434"/>
      <sheetName val="16202"/>
      <sheetName val="117307"/>
      <sheetName val="117451"/>
      <sheetName val="117452"/>
      <sheetName val="16203"/>
      <sheetName val="117108"/>
      <sheetName val="117439"/>
      <sheetName val="117442"/>
      <sheetName val="117445"/>
      <sheetName val="16204"/>
      <sheetName val="117314"/>
      <sheetName val="117433"/>
      <sheetName val="117463"/>
      <sheetName val="16205"/>
      <sheetName val="117305"/>
      <sheetName val="117447"/>
      <sheetName val="117459"/>
      <sheetName val="16206"/>
      <sheetName val="117316"/>
      <sheetName val="117427"/>
      <sheetName val="117465"/>
      <sheetName val="16207"/>
      <sheetName val="117327"/>
      <sheetName val="117443"/>
      <sheetName val="117444"/>
      <sheetName val="117446"/>
      <sheetName val="PUNILLA"/>
      <sheetName val="16301"/>
      <sheetName val="117102"/>
      <sheetName val="117329"/>
      <sheetName val="117729"/>
      <sheetName val="117602"/>
      <sheetName val="117311"/>
      <sheetName val="117415"/>
      <sheetName val="117416"/>
      <sheetName val="117421"/>
      <sheetName val="117423"/>
      <sheetName val="117461"/>
      <sheetName val="117462"/>
      <sheetName val="16302"/>
      <sheetName val="117318"/>
      <sheetName val="117401"/>
      <sheetName val="117403"/>
      <sheetName val="117406"/>
      <sheetName val="117407"/>
      <sheetName val="117325"/>
      <sheetName val="16303"/>
      <sheetName val="117313"/>
      <sheetName val="117418"/>
      <sheetName val="117419"/>
      <sheetName val="117422"/>
      <sheetName val="117464"/>
      <sheetName val="117468"/>
      <sheetName val="16304"/>
      <sheetName val="117309"/>
      <sheetName val="117467"/>
      <sheetName val="117470"/>
      <sheetName val="16305"/>
      <sheetName val="117312"/>
      <sheetName val="11747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5">
          <cell r="J25">
            <v>0</v>
          </cell>
          <cell r="K25">
            <v>0</v>
          </cell>
          <cell r="L25">
            <v>3</v>
          </cell>
          <cell r="M25">
            <v>4</v>
          </cell>
        </row>
        <row r="27">
          <cell r="J27">
            <v>1</v>
          </cell>
          <cell r="K27">
            <v>0</v>
          </cell>
          <cell r="L27">
            <v>2</v>
          </cell>
          <cell r="M27">
            <v>0</v>
          </cell>
        </row>
        <row r="61">
          <cell r="J61">
            <v>139</v>
          </cell>
          <cell r="K61">
            <v>96</v>
          </cell>
        </row>
        <row r="62">
          <cell r="J62">
            <v>84</v>
          </cell>
          <cell r="K62">
            <v>62</v>
          </cell>
        </row>
        <row r="199">
          <cell r="F199">
            <v>132</v>
          </cell>
          <cell r="G199">
            <v>96</v>
          </cell>
          <cell r="H199">
            <v>133</v>
          </cell>
          <cell r="I199">
            <v>86</v>
          </cell>
          <cell r="J199">
            <v>145</v>
          </cell>
          <cell r="K199">
            <v>153</v>
          </cell>
          <cell r="L199">
            <v>49</v>
          </cell>
          <cell r="M199">
            <v>61</v>
          </cell>
          <cell r="N199">
            <v>86</v>
          </cell>
          <cell r="O199">
            <v>60</v>
          </cell>
          <cell r="P199">
            <v>76</v>
          </cell>
          <cell r="Q199">
            <v>60</v>
          </cell>
          <cell r="R199">
            <v>78</v>
          </cell>
          <cell r="S199">
            <v>101</v>
          </cell>
          <cell r="T199">
            <v>52</v>
          </cell>
          <cell r="U199">
            <v>52</v>
          </cell>
          <cell r="V199">
            <v>65</v>
          </cell>
          <cell r="W199">
            <v>43</v>
          </cell>
          <cell r="X199">
            <v>24</v>
          </cell>
          <cell r="Y199">
            <v>36</v>
          </cell>
        </row>
      </sheetData>
      <sheetData sheetId="10">
        <row r="25">
          <cell r="J25">
            <v>0</v>
          </cell>
          <cell r="K25">
            <v>0</v>
          </cell>
          <cell r="L25">
            <v>1</v>
          </cell>
          <cell r="M25">
            <v>1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8</v>
          </cell>
          <cell r="K61">
            <v>3</v>
          </cell>
        </row>
        <row r="62">
          <cell r="J62">
            <v>6</v>
          </cell>
          <cell r="K62">
            <v>2</v>
          </cell>
        </row>
        <row r="199">
          <cell r="F199">
            <v>7</v>
          </cell>
          <cell r="G199">
            <v>3</v>
          </cell>
          <cell r="H199">
            <v>5</v>
          </cell>
          <cell r="I199">
            <v>3</v>
          </cell>
          <cell r="J199">
            <v>3</v>
          </cell>
          <cell r="K199">
            <v>3</v>
          </cell>
          <cell r="L199">
            <v>7</v>
          </cell>
          <cell r="M199">
            <v>5</v>
          </cell>
          <cell r="N199">
            <v>5</v>
          </cell>
          <cell r="O199">
            <v>8</v>
          </cell>
          <cell r="P199">
            <v>13</v>
          </cell>
          <cell r="Q199">
            <v>4</v>
          </cell>
          <cell r="R199">
            <v>10</v>
          </cell>
          <cell r="S199">
            <v>6</v>
          </cell>
          <cell r="T199">
            <v>5</v>
          </cell>
          <cell r="U199">
            <v>3</v>
          </cell>
          <cell r="V199">
            <v>5</v>
          </cell>
          <cell r="W199">
            <v>5</v>
          </cell>
          <cell r="X199">
            <v>2</v>
          </cell>
          <cell r="Y199">
            <v>4</v>
          </cell>
        </row>
      </sheetData>
      <sheetData sheetId="11">
        <row r="25">
          <cell r="J25">
            <v>0</v>
          </cell>
          <cell r="K25">
            <v>0</v>
          </cell>
          <cell r="L25">
            <v>0</v>
          </cell>
          <cell r="M25">
            <v>1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12</v>
          </cell>
          <cell r="K61">
            <v>11</v>
          </cell>
        </row>
        <row r="62">
          <cell r="J62">
            <v>3</v>
          </cell>
          <cell r="K62">
            <v>5</v>
          </cell>
        </row>
        <row r="199">
          <cell r="F199">
            <v>25</v>
          </cell>
          <cell r="G199">
            <v>16</v>
          </cell>
          <cell r="H199">
            <v>15</v>
          </cell>
          <cell r="I199">
            <v>19</v>
          </cell>
          <cell r="J199">
            <v>18</v>
          </cell>
          <cell r="K199">
            <v>16</v>
          </cell>
          <cell r="L199">
            <v>13</v>
          </cell>
          <cell r="M199">
            <v>14</v>
          </cell>
          <cell r="N199">
            <v>10</v>
          </cell>
          <cell r="O199">
            <v>9</v>
          </cell>
          <cell r="P199">
            <v>9</v>
          </cell>
          <cell r="Q199">
            <v>12</v>
          </cell>
          <cell r="R199">
            <v>11</v>
          </cell>
          <cell r="S199">
            <v>12</v>
          </cell>
          <cell r="T199">
            <v>11</v>
          </cell>
          <cell r="U199">
            <v>9</v>
          </cell>
          <cell r="V199">
            <v>7</v>
          </cell>
          <cell r="W199">
            <v>12</v>
          </cell>
          <cell r="X199">
            <v>12</v>
          </cell>
          <cell r="Y199">
            <v>11</v>
          </cell>
        </row>
      </sheetData>
      <sheetData sheetId="12">
        <row r="25">
          <cell r="J25">
            <v>0</v>
          </cell>
          <cell r="K25">
            <v>0</v>
          </cell>
          <cell r="L25">
            <v>1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4</v>
          </cell>
          <cell r="K61">
            <v>5</v>
          </cell>
        </row>
        <row r="62">
          <cell r="J62">
            <v>2</v>
          </cell>
          <cell r="K62">
            <v>1</v>
          </cell>
        </row>
        <row r="199">
          <cell r="F199">
            <v>3</v>
          </cell>
          <cell r="G199">
            <v>6</v>
          </cell>
          <cell r="H199">
            <v>5</v>
          </cell>
          <cell r="I199">
            <v>3</v>
          </cell>
          <cell r="J199">
            <v>14</v>
          </cell>
          <cell r="K199">
            <v>11</v>
          </cell>
          <cell r="L199">
            <v>12</v>
          </cell>
          <cell r="M199">
            <v>10</v>
          </cell>
          <cell r="N199">
            <v>15</v>
          </cell>
          <cell r="O199">
            <v>12</v>
          </cell>
          <cell r="P199">
            <v>17</v>
          </cell>
          <cell r="Q199">
            <v>20</v>
          </cell>
          <cell r="R199">
            <v>16</v>
          </cell>
          <cell r="S199">
            <v>15</v>
          </cell>
          <cell r="T199">
            <v>11</v>
          </cell>
          <cell r="U199">
            <v>13</v>
          </cell>
          <cell r="V199">
            <v>10</v>
          </cell>
          <cell r="W199">
            <v>6</v>
          </cell>
          <cell r="X199">
            <v>14</v>
          </cell>
          <cell r="Y199">
            <v>6</v>
          </cell>
        </row>
      </sheetData>
      <sheetData sheetId="13">
        <row r="25">
          <cell r="J25">
            <v>2</v>
          </cell>
          <cell r="K25">
            <v>0</v>
          </cell>
          <cell r="L25">
            <v>3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1</v>
          </cell>
          <cell r="M27">
            <v>1</v>
          </cell>
        </row>
        <row r="61">
          <cell r="J61">
            <v>53</v>
          </cell>
          <cell r="K61">
            <v>71</v>
          </cell>
        </row>
        <row r="62">
          <cell r="J62">
            <v>37</v>
          </cell>
          <cell r="K62">
            <v>51</v>
          </cell>
        </row>
        <row r="199">
          <cell r="F199">
            <v>59</v>
          </cell>
          <cell r="G199">
            <v>61</v>
          </cell>
          <cell r="H199">
            <v>49</v>
          </cell>
          <cell r="I199">
            <v>58</v>
          </cell>
          <cell r="J199">
            <v>63</v>
          </cell>
          <cell r="K199">
            <v>58</v>
          </cell>
          <cell r="L199">
            <v>45</v>
          </cell>
          <cell r="M199">
            <v>66</v>
          </cell>
          <cell r="N199">
            <v>55</v>
          </cell>
          <cell r="O199">
            <v>47</v>
          </cell>
          <cell r="P199">
            <v>23</v>
          </cell>
          <cell r="Q199">
            <v>16</v>
          </cell>
          <cell r="R199">
            <v>44</v>
          </cell>
          <cell r="S199">
            <v>52</v>
          </cell>
          <cell r="T199">
            <v>16</v>
          </cell>
          <cell r="U199">
            <v>18</v>
          </cell>
          <cell r="V199">
            <v>19</v>
          </cell>
          <cell r="W199">
            <v>24</v>
          </cell>
          <cell r="X199">
            <v>25</v>
          </cell>
          <cell r="Y199">
            <v>18</v>
          </cell>
        </row>
      </sheetData>
      <sheetData sheetId="14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1</v>
          </cell>
          <cell r="K61">
            <v>2</v>
          </cell>
        </row>
        <row r="62">
          <cell r="J62">
            <v>0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15">
        <row r="25">
          <cell r="J25">
            <v>0</v>
          </cell>
          <cell r="K25">
            <v>0</v>
          </cell>
          <cell r="L25">
            <v>2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59</v>
          </cell>
          <cell r="K61">
            <v>67</v>
          </cell>
        </row>
        <row r="62">
          <cell r="J62">
            <v>35</v>
          </cell>
          <cell r="K62">
            <v>40</v>
          </cell>
        </row>
        <row r="199">
          <cell r="F199">
            <v>36</v>
          </cell>
          <cell r="G199">
            <v>41</v>
          </cell>
          <cell r="H199">
            <v>40</v>
          </cell>
          <cell r="I199">
            <v>29</v>
          </cell>
          <cell r="J199">
            <v>47</v>
          </cell>
          <cell r="K199">
            <v>33</v>
          </cell>
          <cell r="L199">
            <v>48</v>
          </cell>
          <cell r="M199">
            <v>40</v>
          </cell>
          <cell r="N199">
            <v>26</v>
          </cell>
          <cell r="O199">
            <v>26</v>
          </cell>
          <cell r="P199">
            <v>37</v>
          </cell>
          <cell r="Q199">
            <v>28</v>
          </cell>
          <cell r="R199">
            <v>66</v>
          </cell>
          <cell r="S199">
            <v>58</v>
          </cell>
          <cell r="T199">
            <v>28</v>
          </cell>
          <cell r="U199">
            <v>30</v>
          </cell>
          <cell r="V199">
            <v>21</v>
          </cell>
          <cell r="W199">
            <v>22</v>
          </cell>
          <cell r="X199">
            <v>12</v>
          </cell>
          <cell r="Y199">
            <v>14</v>
          </cell>
        </row>
      </sheetData>
      <sheetData sheetId="16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14</v>
          </cell>
          <cell r="K61">
            <v>13</v>
          </cell>
        </row>
        <row r="62">
          <cell r="J62">
            <v>8</v>
          </cell>
          <cell r="K62">
            <v>10</v>
          </cell>
        </row>
        <row r="199">
          <cell r="F199">
            <v>6</v>
          </cell>
          <cell r="G199">
            <v>11</v>
          </cell>
          <cell r="H199">
            <v>8</v>
          </cell>
          <cell r="I199">
            <v>7</v>
          </cell>
          <cell r="J199">
            <v>8</v>
          </cell>
          <cell r="K199">
            <v>5</v>
          </cell>
          <cell r="L199">
            <v>7</v>
          </cell>
          <cell r="M199">
            <v>10</v>
          </cell>
          <cell r="N199">
            <v>12</v>
          </cell>
          <cell r="O199">
            <v>13</v>
          </cell>
          <cell r="P199">
            <v>8</v>
          </cell>
          <cell r="Q199">
            <v>7</v>
          </cell>
          <cell r="R199">
            <v>10</v>
          </cell>
          <cell r="S199">
            <v>10</v>
          </cell>
          <cell r="T199">
            <v>10</v>
          </cell>
          <cell r="U199">
            <v>10</v>
          </cell>
          <cell r="V199">
            <v>11</v>
          </cell>
          <cell r="W199">
            <v>15</v>
          </cell>
          <cell r="X199">
            <v>11</v>
          </cell>
          <cell r="Y199">
            <v>11</v>
          </cell>
        </row>
      </sheetData>
      <sheetData sheetId="17">
        <row r="25">
          <cell r="J25">
            <v>0</v>
          </cell>
          <cell r="K25">
            <v>0</v>
          </cell>
          <cell r="L25">
            <v>3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1</v>
          </cell>
          <cell r="M27">
            <v>2</v>
          </cell>
        </row>
        <row r="61">
          <cell r="J61">
            <v>10</v>
          </cell>
          <cell r="K61">
            <v>14</v>
          </cell>
        </row>
        <row r="62">
          <cell r="J62">
            <v>9</v>
          </cell>
          <cell r="K62">
            <v>13</v>
          </cell>
        </row>
        <row r="199">
          <cell r="F199">
            <v>11</v>
          </cell>
          <cell r="G199">
            <v>14</v>
          </cell>
          <cell r="H199">
            <v>10</v>
          </cell>
          <cell r="I199">
            <v>7</v>
          </cell>
          <cell r="J199">
            <v>8</v>
          </cell>
          <cell r="K199">
            <v>7</v>
          </cell>
          <cell r="L199">
            <v>8</v>
          </cell>
          <cell r="M199">
            <v>10</v>
          </cell>
          <cell r="N199">
            <v>11</v>
          </cell>
          <cell r="O199">
            <v>13</v>
          </cell>
          <cell r="P199">
            <v>8</v>
          </cell>
          <cell r="Q199">
            <v>8</v>
          </cell>
          <cell r="R199">
            <v>19</v>
          </cell>
          <cell r="S199">
            <v>17</v>
          </cell>
          <cell r="T199">
            <v>7</v>
          </cell>
          <cell r="U199">
            <v>9</v>
          </cell>
          <cell r="V199">
            <v>20</v>
          </cell>
          <cell r="W199">
            <v>9</v>
          </cell>
          <cell r="X199">
            <v>8</v>
          </cell>
          <cell r="Y199">
            <v>3</v>
          </cell>
        </row>
      </sheetData>
      <sheetData sheetId="18">
        <row r="25">
          <cell r="J25">
            <v>1</v>
          </cell>
          <cell r="K25">
            <v>0</v>
          </cell>
          <cell r="L25">
            <v>9</v>
          </cell>
          <cell r="M25">
            <v>3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74</v>
          </cell>
          <cell r="K61">
            <v>84</v>
          </cell>
        </row>
        <row r="62">
          <cell r="J62">
            <v>52</v>
          </cell>
          <cell r="K62">
            <v>43</v>
          </cell>
        </row>
        <row r="199">
          <cell r="F199">
            <v>49</v>
          </cell>
          <cell r="G199">
            <v>66</v>
          </cell>
          <cell r="H199">
            <v>26</v>
          </cell>
          <cell r="I199">
            <v>34</v>
          </cell>
          <cell r="J199">
            <v>46</v>
          </cell>
          <cell r="K199">
            <v>51</v>
          </cell>
          <cell r="L199">
            <v>52</v>
          </cell>
          <cell r="M199">
            <v>58</v>
          </cell>
          <cell r="N199">
            <v>53</v>
          </cell>
          <cell r="O199">
            <v>54</v>
          </cell>
          <cell r="P199">
            <v>49</v>
          </cell>
          <cell r="Q199">
            <v>45</v>
          </cell>
          <cell r="R199">
            <v>61</v>
          </cell>
          <cell r="S199">
            <v>55</v>
          </cell>
          <cell r="T199">
            <v>43</v>
          </cell>
          <cell r="U199">
            <v>39</v>
          </cell>
          <cell r="V199">
            <v>39</v>
          </cell>
          <cell r="W199">
            <v>27</v>
          </cell>
          <cell r="X199">
            <v>24</v>
          </cell>
          <cell r="Y199">
            <v>27</v>
          </cell>
        </row>
      </sheetData>
      <sheetData sheetId="19">
        <row r="25">
          <cell r="J25">
            <v>1</v>
          </cell>
          <cell r="K25">
            <v>1</v>
          </cell>
          <cell r="L25">
            <v>0</v>
          </cell>
          <cell r="M25">
            <v>2</v>
          </cell>
        </row>
        <row r="27">
          <cell r="J27">
            <v>0</v>
          </cell>
          <cell r="K27">
            <v>0</v>
          </cell>
          <cell r="L27">
            <v>2</v>
          </cell>
          <cell r="M27">
            <v>2</v>
          </cell>
        </row>
        <row r="61">
          <cell r="J61">
            <v>71</v>
          </cell>
          <cell r="K61">
            <v>76</v>
          </cell>
        </row>
        <row r="62">
          <cell r="J62">
            <v>45</v>
          </cell>
          <cell r="K62">
            <v>42</v>
          </cell>
        </row>
        <row r="199">
          <cell r="F199">
            <v>69</v>
          </cell>
          <cell r="G199">
            <v>65</v>
          </cell>
          <cell r="H199">
            <v>44</v>
          </cell>
          <cell r="I199">
            <v>47</v>
          </cell>
          <cell r="J199">
            <v>54</v>
          </cell>
          <cell r="K199">
            <v>46</v>
          </cell>
          <cell r="L199">
            <v>36</v>
          </cell>
          <cell r="M199">
            <v>29</v>
          </cell>
          <cell r="N199">
            <v>27</v>
          </cell>
          <cell r="O199">
            <v>34</v>
          </cell>
          <cell r="P199">
            <v>20</v>
          </cell>
          <cell r="Q199">
            <v>11</v>
          </cell>
          <cell r="R199">
            <v>63</v>
          </cell>
          <cell r="S199">
            <v>54</v>
          </cell>
          <cell r="T199">
            <v>23</v>
          </cell>
          <cell r="U199">
            <v>22</v>
          </cell>
          <cell r="V199">
            <v>14</v>
          </cell>
          <cell r="W199">
            <v>12</v>
          </cell>
          <cell r="X199">
            <v>9</v>
          </cell>
          <cell r="Y199">
            <v>7</v>
          </cell>
        </row>
      </sheetData>
      <sheetData sheetId="20"/>
      <sheetData sheetId="21"/>
      <sheetData sheetId="22"/>
      <sheetData sheetId="23"/>
      <sheetData sheetId="24">
        <row r="25">
          <cell r="J25">
            <v>0</v>
          </cell>
          <cell r="K25">
            <v>0</v>
          </cell>
          <cell r="L25">
            <v>0</v>
          </cell>
          <cell r="M25">
            <v>3</v>
          </cell>
        </row>
        <row r="27">
          <cell r="J27">
            <v>0</v>
          </cell>
          <cell r="K27">
            <v>0</v>
          </cell>
          <cell r="L27">
            <v>1</v>
          </cell>
          <cell r="M27">
            <v>1</v>
          </cell>
        </row>
        <row r="61">
          <cell r="J61">
            <v>22</v>
          </cell>
          <cell r="K61">
            <v>23</v>
          </cell>
        </row>
        <row r="62">
          <cell r="J62">
            <v>14</v>
          </cell>
          <cell r="K62">
            <v>12</v>
          </cell>
        </row>
        <row r="199">
          <cell r="F199">
            <v>3</v>
          </cell>
          <cell r="G199">
            <v>3</v>
          </cell>
          <cell r="H199">
            <v>3</v>
          </cell>
          <cell r="I199">
            <v>6</v>
          </cell>
          <cell r="J199">
            <v>3</v>
          </cell>
          <cell r="K199">
            <v>7</v>
          </cell>
          <cell r="L199">
            <v>12</v>
          </cell>
          <cell r="M199">
            <v>6</v>
          </cell>
          <cell r="N199">
            <v>8</v>
          </cell>
          <cell r="O199">
            <v>16</v>
          </cell>
          <cell r="P199">
            <v>8</v>
          </cell>
          <cell r="Q199">
            <v>8</v>
          </cell>
          <cell r="R199">
            <v>10</v>
          </cell>
          <cell r="S199">
            <v>14</v>
          </cell>
          <cell r="T199">
            <v>6</v>
          </cell>
          <cell r="U199">
            <v>11</v>
          </cell>
          <cell r="V199">
            <v>14</v>
          </cell>
          <cell r="W199">
            <v>10</v>
          </cell>
          <cell r="X199">
            <v>8</v>
          </cell>
          <cell r="Y199">
            <v>8</v>
          </cell>
        </row>
      </sheetData>
      <sheetData sheetId="25">
        <row r="25">
          <cell r="J25">
            <v>0</v>
          </cell>
          <cell r="K25">
            <v>1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2</v>
          </cell>
        </row>
        <row r="61">
          <cell r="J61">
            <v>20</v>
          </cell>
          <cell r="K61">
            <v>22</v>
          </cell>
        </row>
        <row r="62">
          <cell r="J62">
            <v>12</v>
          </cell>
          <cell r="K62">
            <v>12</v>
          </cell>
        </row>
        <row r="199">
          <cell r="F199">
            <v>12</v>
          </cell>
          <cell r="G199">
            <v>14</v>
          </cell>
          <cell r="H199">
            <v>9</v>
          </cell>
          <cell r="I199">
            <v>10</v>
          </cell>
          <cell r="J199">
            <v>8</v>
          </cell>
          <cell r="K199">
            <v>11</v>
          </cell>
          <cell r="L199">
            <v>9</v>
          </cell>
          <cell r="M199">
            <v>11</v>
          </cell>
          <cell r="N199">
            <v>6</v>
          </cell>
          <cell r="O199">
            <v>5</v>
          </cell>
          <cell r="P199">
            <v>8</v>
          </cell>
          <cell r="Q199">
            <v>6</v>
          </cell>
          <cell r="R199">
            <v>11</v>
          </cell>
          <cell r="S199">
            <v>5</v>
          </cell>
          <cell r="T199">
            <v>8</v>
          </cell>
          <cell r="U199">
            <v>9</v>
          </cell>
          <cell r="V199">
            <v>9</v>
          </cell>
          <cell r="W199">
            <v>4</v>
          </cell>
          <cell r="X199">
            <v>8</v>
          </cell>
          <cell r="Y199">
            <v>4</v>
          </cell>
        </row>
      </sheetData>
      <sheetData sheetId="26"/>
      <sheetData sheetId="27">
        <row r="25">
          <cell r="J25">
            <v>0</v>
          </cell>
          <cell r="K25">
            <v>0</v>
          </cell>
          <cell r="L25">
            <v>12</v>
          </cell>
          <cell r="M25">
            <v>3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69</v>
          </cell>
          <cell r="K61">
            <v>75</v>
          </cell>
        </row>
        <row r="62">
          <cell r="J62">
            <v>47</v>
          </cell>
          <cell r="K62">
            <v>52</v>
          </cell>
        </row>
        <row r="199">
          <cell r="F199">
            <v>63</v>
          </cell>
          <cell r="G199">
            <v>53</v>
          </cell>
          <cell r="H199">
            <v>31</v>
          </cell>
          <cell r="I199">
            <v>32</v>
          </cell>
          <cell r="J199">
            <v>26</v>
          </cell>
          <cell r="K199">
            <v>34</v>
          </cell>
          <cell r="L199">
            <v>30</v>
          </cell>
          <cell r="M199">
            <v>31</v>
          </cell>
          <cell r="N199">
            <v>43</v>
          </cell>
          <cell r="O199">
            <v>35</v>
          </cell>
          <cell r="P199">
            <v>29</v>
          </cell>
          <cell r="Q199">
            <v>38</v>
          </cell>
          <cell r="R199">
            <v>32</v>
          </cell>
          <cell r="S199">
            <v>35</v>
          </cell>
          <cell r="T199">
            <v>27</v>
          </cell>
          <cell r="U199">
            <v>18</v>
          </cell>
          <cell r="V199">
            <v>30</v>
          </cell>
          <cell r="W199">
            <v>26</v>
          </cell>
          <cell r="X199">
            <v>28</v>
          </cell>
          <cell r="Y199">
            <v>27</v>
          </cell>
        </row>
      </sheetData>
      <sheetData sheetId="28">
        <row r="61">
          <cell r="J61">
            <v>3</v>
          </cell>
          <cell r="K61">
            <v>2</v>
          </cell>
        </row>
        <row r="62">
          <cell r="J62">
            <v>2</v>
          </cell>
          <cell r="K62">
            <v>1</v>
          </cell>
        </row>
        <row r="199">
          <cell r="F199">
            <v>3</v>
          </cell>
          <cell r="G199">
            <v>3</v>
          </cell>
          <cell r="H199">
            <v>1</v>
          </cell>
          <cell r="I199">
            <v>0</v>
          </cell>
          <cell r="J199">
            <v>1</v>
          </cell>
          <cell r="K199">
            <v>4</v>
          </cell>
          <cell r="L199">
            <v>3</v>
          </cell>
          <cell r="M199">
            <v>2</v>
          </cell>
          <cell r="N199">
            <v>2</v>
          </cell>
          <cell r="O199">
            <v>3</v>
          </cell>
          <cell r="P199">
            <v>2</v>
          </cell>
          <cell r="Q199">
            <v>3</v>
          </cell>
          <cell r="R199">
            <v>3</v>
          </cell>
          <cell r="S199">
            <v>2</v>
          </cell>
          <cell r="T199">
            <v>5</v>
          </cell>
          <cell r="U199">
            <v>3</v>
          </cell>
          <cell r="V199">
            <v>1</v>
          </cell>
          <cell r="W199">
            <v>2</v>
          </cell>
          <cell r="X199">
            <v>1</v>
          </cell>
          <cell r="Y199">
            <v>0</v>
          </cell>
        </row>
      </sheetData>
      <sheetData sheetId="29">
        <row r="61">
          <cell r="J61">
            <v>2</v>
          </cell>
          <cell r="K61">
            <v>3</v>
          </cell>
        </row>
        <row r="62">
          <cell r="J62">
            <v>1</v>
          </cell>
          <cell r="K62">
            <v>0</v>
          </cell>
        </row>
        <row r="199">
          <cell r="F199">
            <v>0</v>
          </cell>
          <cell r="G199">
            <v>2</v>
          </cell>
          <cell r="H199">
            <v>3</v>
          </cell>
          <cell r="I199">
            <v>0</v>
          </cell>
          <cell r="J199">
            <v>3</v>
          </cell>
          <cell r="K199">
            <v>3</v>
          </cell>
          <cell r="L199">
            <v>2</v>
          </cell>
          <cell r="M199">
            <v>1</v>
          </cell>
          <cell r="N199">
            <v>3</v>
          </cell>
          <cell r="O199">
            <v>1</v>
          </cell>
          <cell r="P199">
            <v>2</v>
          </cell>
          <cell r="Q199">
            <v>1</v>
          </cell>
          <cell r="R199">
            <v>1</v>
          </cell>
          <cell r="S199">
            <v>2</v>
          </cell>
          <cell r="T199">
            <v>2</v>
          </cell>
          <cell r="U199">
            <v>2</v>
          </cell>
          <cell r="V199">
            <v>2</v>
          </cell>
          <cell r="W199">
            <v>2</v>
          </cell>
          <cell r="X199">
            <v>0</v>
          </cell>
          <cell r="Y199">
            <v>0</v>
          </cell>
        </row>
      </sheetData>
      <sheetData sheetId="30">
        <row r="25">
          <cell r="J25">
            <v>0</v>
          </cell>
          <cell r="K25">
            <v>0</v>
          </cell>
          <cell r="L25">
            <v>2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48</v>
          </cell>
          <cell r="K61">
            <v>66</v>
          </cell>
        </row>
        <row r="62">
          <cell r="J62">
            <v>24</v>
          </cell>
          <cell r="K62">
            <v>39</v>
          </cell>
        </row>
        <row r="199">
          <cell r="F199">
            <v>33</v>
          </cell>
          <cell r="G199">
            <v>44</v>
          </cell>
          <cell r="H199">
            <v>25</v>
          </cell>
          <cell r="I199">
            <v>41</v>
          </cell>
          <cell r="J199">
            <v>22</v>
          </cell>
          <cell r="K199">
            <v>39</v>
          </cell>
          <cell r="L199">
            <v>31</v>
          </cell>
          <cell r="M199">
            <v>34</v>
          </cell>
          <cell r="N199">
            <v>31</v>
          </cell>
          <cell r="O199">
            <v>31</v>
          </cell>
          <cell r="P199">
            <v>23</v>
          </cell>
          <cell r="Q199">
            <v>24</v>
          </cell>
          <cell r="R199">
            <v>39</v>
          </cell>
          <cell r="S199">
            <v>48</v>
          </cell>
          <cell r="T199">
            <v>33</v>
          </cell>
          <cell r="U199">
            <v>16</v>
          </cell>
          <cell r="V199">
            <v>22</v>
          </cell>
          <cell r="W199">
            <v>32</v>
          </cell>
          <cell r="X199">
            <v>28</v>
          </cell>
          <cell r="Y199">
            <v>24</v>
          </cell>
        </row>
      </sheetData>
      <sheetData sheetId="31"/>
      <sheetData sheetId="32"/>
      <sheetData sheetId="33"/>
      <sheetData sheetId="34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199">
          <cell r="F199">
            <v>3</v>
          </cell>
          <cell r="G199">
            <v>13</v>
          </cell>
          <cell r="H199">
            <v>4</v>
          </cell>
          <cell r="I199">
            <v>3</v>
          </cell>
          <cell r="J199">
            <v>3</v>
          </cell>
          <cell r="K199">
            <v>9</v>
          </cell>
          <cell r="L199">
            <v>7</v>
          </cell>
          <cell r="M199">
            <v>5</v>
          </cell>
          <cell r="N199">
            <v>19</v>
          </cell>
          <cell r="O199">
            <v>15</v>
          </cell>
          <cell r="P199">
            <v>19</v>
          </cell>
          <cell r="Q199">
            <v>14</v>
          </cell>
          <cell r="R199">
            <v>62</v>
          </cell>
          <cell r="S199">
            <v>51</v>
          </cell>
          <cell r="T199">
            <v>36</v>
          </cell>
          <cell r="U199">
            <v>42</v>
          </cell>
          <cell r="V199">
            <v>79</v>
          </cell>
          <cell r="W199">
            <v>64</v>
          </cell>
          <cell r="X199">
            <v>39</v>
          </cell>
          <cell r="Y199">
            <v>39</v>
          </cell>
        </row>
      </sheetData>
      <sheetData sheetId="35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1</v>
          </cell>
          <cell r="K61">
            <v>0</v>
          </cell>
        </row>
        <row r="62">
          <cell r="J62">
            <v>1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36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1</v>
          </cell>
        </row>
        <row r="62">
          <cell r="J62">
            <v>0</v>
          </cell>
          <cell r="K62">
            <v>1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37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1</v>
          </cell>
          <cell r="K61">
            <v>1</v>
          </cell>
        </row>
        <row r="62">
          <cell r="J62">
            <v>0</v>
          </cell>
          <cell r="K62">
            <v>1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38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1</v>
          </cell>
        </row>
        <row r="62">
          <cell r="J62">
            <v>0</v>
          </cell>
          <cell r="K62">
            <v>1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39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1</v>
          </cell>
        </row>
        <row r="62">
          <cell r="J62">
            <v>0</v>
          </cell>
          <cell r="K62">
            <v>1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40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41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3</v>
          </cell>
        </row>
        <row r="62">
          <cell r="J62">
            <v>0</v>
          </cell>
          <cell r="K62">
            <v>2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42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43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44"/>
      <sheetData sheetId="45">
        <row r="25">
          <cell r="J25">
            <v>1</v>
          </cell>
          <cell r="K25">
            <v>0</v>
          </cell>
          <cell r="L25">
            <v>4</v>
          </cell>
          <cell r="M25">
            <v>1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17</v>
          </cell>
          <cell r="K61">
            <v>25</v>
          </cell>
        </row>
        <row r="62">
          <cell r="J62">
            <v>14</v>
          </cell>
          <cell r="K62">
            <v>20</v>
          </cell>
        </row>
        <row r="199">
          <cell r="F199">
            <v>14</v>
          </cell>
          <cell r="G199">
            <v>15</v>
          </cell>
          <cell r="H199">
            <v>22</v>
          </cell>
          <cell r="I199">
            <v>29</v>
          </cell>
          <cell r="J199">
            <v>13</v>
          </cell>
          <cell r="K199">
            <v>22</v>
          </cell>
          <cell r="L199">
            <v>18</v>
          </cell>
          <cell r="M199">
            <v>23</v>
          </cell>
          <cell r="N199">
            <v>11</v>
          </cell>
          <cell r="O199">
            <v>13</v>
          </cell>
          <cell r="P199">
            <v>13</v>
          </cell>
          <cell r="Q199">
            <v>19</v>
          </cell>
          <cell r="R199">
            <v>27</v>
          </cell>
          <cell r="S199">
            <v>26</v>
          </cell>
          <cell r="T199">
            <v>24</v>
          </cell>
          <cell r="U199">
            <v>11</v>
          </cell>
          <cell r="V199">
            <v>24</v>
          </cell>
          <cell r="W199">
            <v>13</v>
          </cell>
          <cell r="X199">
            <v>13</v>
          </cell>
          <cell r="Y199">
            <v>8</v>
          </cell>
        </row>
      </sheetData>
      <sheetData sheetId="46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47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48"/>
      <sheetData sheetId="49">
        <row r="25">
          <cell r="J25">
            <v>0</v>
          </cell>
          <cell r="K25">
            <v>1</v>
          </cell>
          <cell r="L25">
            <v>3</v>
          </cell>
          <cell r="M25">
            <v>4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1</v>
          </cell>
        </row>
        <row r="61">
          <cell r="J61">
            <v>41</v>
          </cell>
          <cell r="K61">
            <v>56</v>
          </cell>
        </row>
        <row r="62">
          <cell r="J62">
            <v>20</v>
          </cell>
          <cell r="K62">
            <v>25</v>
          </cell>
        </row>
        <row r="199">
          <cell r="F199">
            <v>33</v>
          </cell>
          <cell r="G199">
            <v>45</v>
          </cell>
          <cell r="H199">
            <v>26</v>
          </cell>
          <cell r="I199">
            <v>22</v>
          </cell>
          <cell r="J199">
            <v>24</v>
          </cell>
          <cell r="K199">
            <v>30</v>
          </cell>
          <cell r="L199">
            <v>17</v>
          </cell>
          <cell r="M199">
            <v>27</v>
          </cell>
          <cell r="N199">
            <v>24</v>
          </cell>
          <cell r="O199">
            <v>26</v>
          </cell>
          <cell r="P199">
            <v>21</v>
          </cell>
          <cell r="Q199">
            <v>23</v>
          </cell>
          <cell r="R199">
            <v>53</v>
          </cell>
          <cell r="S199">
            <v>35</v>
          </cell>
          <cell r="T199">
            <v>27</v>
          </cell>
          <cell r="U199">
            <v>24</v>
          </cell>
          <cell r="V199">
            <v>31</v>
          </cell>
          <cell r="W199">
            <v>21</v>
          </cell>
          <cell r="X199">
            <v>35</v>
          </cell>
          <cell r="Y199">
            <v>34</v>
          </cell>
        </row>
      </sheetData>
      <sheetData sheetId="50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9</v>
          </cell>
          <cell r="K61">
            <v>6</v>
          </cell>
        </row>
        <row r="62">
          <cell r="J62">
            <v>5</v>
          </cell>
          <cell r="K62">
            <v>3</v>
          </cell>
        </row>
        <row r="199">
          <cell r="F199">
            <v>5</v>
          </cell>
          <cell r="G199">
            <v>2</v>
          </cell>
          <cell r="H199">
            <v>4</v>
          </cell>
          <cell r="I199">
            <v>1</v>
          </cell>
          <cell r="J199">
            <v>5</v>
          </cell>
          <cell r="K199">
            <v>9</v>
          </cell>
          <cell r="L199">
            <v>7</v>
          </cell>
          <cell r="M199">
            <v>5</v>
          </cell>
          <cell r="N199">
            <v>5</v>
          </cell>
          <cell r="O199">
            <v>7</v>
          </cell>
          <cell r="P199">
            <v>4</v>
          </cell>
          <cell r="Q199">
            <v>10</v>
          </cell>
          <cell r="R199">
            <v>13</v>
          </cell>
          <cell r="S199">
            <v>12</v>
          </cell>
          <cell r="T199">
            <v>4</v>
          </cell>
          <cell r="U199">
            <v>9</v>
          </cell>
          <cell r="V199">
            <v>6</v>
          </cell>
          <cell r="W199">
            <v>4</v>
          </cell>
          <cell r="X199">
            <v>9</v>
          </cell>
          <cell r="Y199">
            <v>5</v>
          </cell>
        </row>
      </sheetData>
      <sheetData sheetId="51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52"/>
      <sheetData sheetId="53">
        <row r="25">
          <cell r="J25">
            <v>0</v>
          </cell>
          <cell r="K25">
            <v>0</v>
          </cell>
          <cell r="L25">
            <v>3</v>
          </cell>
          <cell r="M25">
            <v>1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51</v>
          </cell>
          <cell r="K61">
            <v>53</v>
          </cell>
        </row>
        <row r="62">
          <cell r="J62">
            <v>23</v>
          </cell>
          <cell r="K62">
            <v>26</v>
          </cell>
        </row>
        <row r="199">
          <cell r="F199">
            <v>54</v>
          </cell>
          <cell r="G199">
            <v>40</v>
          </cell>
          <cell r="H199">
            <v>22</v>
          </cell>
          <cell r="I199">
            <v>26</v>
          </cell>
          <cell r="J199">
            <v>30</v>
          </cell>
          <cell r="K199">
            <v>41</v>
          </cell>
          <cell r="L199">
            <v>42</v>
          </cell>
          <cell r="M199">
            <v>25</v>
          </cell>
          <cell r="N199">
            <v>33</v>
          </cell>
          <cell r="O199">
            <v>26</v>
          </cell>
          <cell r="P199">
            <v>30</v>
          </cell>
          <cell r="Q199">
            <v>14</v>
          </cell>
          <cell r="R199">
            <v>31</v>
          </cell>
          <cell r="S199">
            <v>28</v>
          </cell>
          <cell r="T199">
            <v>21</v>
          </cell>
          <cell r="U199">
            <v>32</v>
          </cell>
          <cell r="V199">
            <v>29</v>
          </cell>
          <cell r="W199">
            <v>26</v>
          </cell>
          <cell r="X199">
            <v>30</v>
          </cell>
          <cell r="Y199">
            <v>24</v>
          </cell>
        </row>
      </sheetData>
      <sheetData sheetId="54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5</v>
          </cell>
          <cell r="K61">
            <v>3</v>
          </cell>
        </row>
        <row r="62">
          <cell r="J62">
            <v>2</v>
          </cell>
          <cell r="K62">
            <v>1</v>
          </cell>
        </row>
        <row r="199">
          <cell r="F199">
            <v>7</v>
          </cell>
          <cell r="G199">
            <v>6</v>
          </cell>
          <cell r="H199">
            <v>5</v>
          </cell>
          <cell r="I199">
            <v>7</v>
          </cell>
          <cell r="J199">
            <v>16</v>
          </cell>
          <cell r="K199">
            <v>8</v>
          </cell>
          <cell r="L199">
            <v>3</v>
          </cell>
          <cell r="M199">
            <v>7</v>
          </cell>
          <cell r="N199">
            <v>6</v>
          </cell>
          <cell r="O199">
            <v>4</v>
          </cell>
          <cell r="P199">
            <v>18</v>
          </cell>
          <cell r="Q199">
            <v>6</v>
          </cell>
          <cell r="R199">
            <v>15</v>
          </cell>
          <cell r="S199">
            <v>12</v>
          </cell>
          <cell r="T199">
            <v>7</v>
          </cell>
          <cell r="U199">
            <v>8</v>
          </cell>
          <cell r="V199">
            <v>6</v>
          </cell>
          <cell r="W199">
            <v>8</v>
          </cell>
          <cell r="X199">
            <v>8</v>
          </cell>
          <cell r="Y199">
            <v>5</v>
          </cell>
        </row>
      </sheetData>
      <sheetData sheetId="55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1</v>
          </cell>
          <cell r="K61">
            <v>1</v>
          </cell>
        </row>
        <row r="62">
          <cell r="J62">
            <v>2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56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1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1</v>
          </cell>
          <cell r="O199">
            <v>0</v>
          </cell>
          <cell r="P199">
            <v>1</v>
          </cell>
          <cell r="Q199">
            <v>0</v>
          </cell>
          <cell r="R199">
            <v>2</v>
          </cell>
          <cell r="S199">
            <v>6</v>
          </cell>
          <cell r="T199">
            <v>5</v>
          </cell>
          <cell r="U199">
            <v>2</v>
          </cell>
          <cell r="V199">
            <v>1</v>
          </cell>
          <cell r="W199">
            <v>4</v>
          </cell>
          <cell r="X199">
            <v>0</v>
          </cell>
          <cell r="Y199">
            <v>0</v>
          </cell>
        </row>
      </sheetData>
      <sheetData sheetId="57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58"/>
      <sheetData sheetId="59">
        <row r="25">
          <cell r="J25">
            <v>0</v>
          </cell>
          <cell r="K25">
            <v>0</v>
          </cell>
          <cell r="L25">
            <v>0</v>
          </cell>
          <cell r="M25">
            <v>2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18</v>
          </cell>
          <cell r="K61">
            <v>19</v>
          </cell>
        </row>
        <row r="62">
          <cell r="J62">
            <v>12</v>
          </cell>
          <cell r="K62">
            <v>15</v>
          </cell>
        </row>
        <row r="199">
          <cell r="F199">
            <v>24</v>
          </cell>
          <cell r="G199">
            <v>22</v>
          </cell>
          <cell r="H199">
            <v>14</v>
          </cell>
          <cell r="I199">
            <v>8</v>
          </cell>
          <cell r="J199">
            <v>20</v>
          </cell>
          <cell r="K199">
            <v>20</v>
          </cell>
          <cell r="L199">
            <v>14</v>
          </cell>
          <cell r="M199">
            <v>21</v>
          </cell>
          <cell r="N199">
            <v>27</v>
          </cell>
          <cell r="O199">
            <v>31</v>
          </cell>
          <cell r="P199">
            <v>23</v>
          </cell>
          <cell r="Q199">
            <v>43</v>
          </cell>
          <cell r="R199">
            <v>19</v>
          </cell>
          <cell r="S199">
            <v>25</v>
          </cell>
          <cell r="T199">
            <v>12</v>
          </cell>
          <cell r="U199">
            <v>14</v>
          </cell>
          <cell r="V199">
            <v>6</v>
          </cell>
          <cell r="W199">
            <v>7</v>
          </cell>
          <cell r="X199">
            <v>5</v>
          </cell>
          <cell r="Y199">
            <v>4</v>
          </cell>
        </row>
      </sheetData>
      <sheetData sheetId="60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1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61">
        <row r="25">
          <cell r="J25">
            <v>0</v>
          </cell>
          <cell r="K25">
            <v>0</v>
          </cell>
          <cell r="L25">
            <v>2</v>
          </cell>
          <cell r="M25">
            <v>1</v>
          </cell>
        </row>
        <row r="27">
          <cell r="J27">
            <v>1</v>
          </cell>
          <cell r="K27">
            <v>0</v>
          </cell>
          <cell r="L27">
            <v>0</v>
          </cell>
          <cell r="M27">
            <v>2</v>
          </cell>
        </row>
        <row r="61">
          <cell r="J61">
            <v>18</v>
          </cell>
          <cell r="K61">
            <v>11</v>
          </cell>
        </row>
        <row r="62">
          <cell r="J62">
            <v>12</v>
          </cell>
          <cell r="K62">
            <v>8</v>
          </cell>
        </row>
        <row r="199">
          <cell r="F199">
            <v>11</v>
          </cell>
          <cell r="G199">
            <v>8</v>
          </cell>
          <cell r="H199">
            <v>5</v>
          </cell>
          <cell r="I199">
            <v>10</v>
          </cell>
          <cell r="J199">
            <v>16</v>
          </cell>
          <cell r="K199">
            <v>5</v>
          </cell>
          <cell r="L199">
            <v>10</v>
          </cell>
          <cell r="M199">
            <v>7</v>
          </cell>
          <cell r="N199">
            <v>13</v>
          </cell>
          <cell r="O199">
            <v>12</v>
          </cell>
          <cell r="P199">
            <v>5</v>
          </cell>
          <cell r="Q199">
            <v>3</v>
          </cell>
          <cell r="R199">
            <v>13</v>
          </cell>
          <cell r="S199">
            <v>23</v>
          </cell>
          <cell r="T199">
            <v>11</v>
          </cell>
          <cell r="U199">
            <v>10</v>
          </cell>
          <cell r="V199">
            <v>13</v>
          </cell>
          <cell r="W199">
            <v>11</v>
          </cell>
          <cell r="X199">
            <v>2</v>
          </cell>
          <cell r="Y199">
            <v>4</v>
          </cell>
        </row>
      </sheetData>
      <sheetData sheetId="62">
        <row r="25">
          <cell r="J25">
            <v>0</v>
          </cell>
          <cell r="K25">
            <v>1</v>
          </cell>
          <cell r="L25">
            <v>3</v>
          </cell>
          <cell r="M25">
            <v>3</v>
          </cell>
        </row>
        <row r="27">
          <cell r="J27">
            <v>0</v>
          </cell>
          <cell r="K27">
            <v>0</v>
          </cell>
          <cell r="L27">
            <v>2</v>
          </cell>
          <cell r="M27">
            <v>0</v>
          </cell>
        </row>
        <row r="61">
          <cell r="J61">
            <v>14</v>
          </cell>
          <cell r="K61">
            <v>23</v>
          </cell>
        </row>
        <row r="62">
          <cell r="J62">
            <v>8</v>
          </cell>
          <cell r="K62">
            <v>19</v>
          </cell>
        </row>
        <row r="199">
          <cell r="F199">
            <v>11</v>
          </cell>
          <cell r="G199">
            <v>20</v>
          </cell>
          <cell r="H199">
            <v>8</v>
          </cell>
          <cell r="I199">
            <v>14</v>
          </cell>
          <cell r="J199">
            <v>13</v>
          </cell>
          <cell r="K199">
            <v>14</v>
          </cell>
          <cell r="L199">
            <v>9</v>
          </cell>
          <cell r="M199">
            <v>6</v>
          </cell>
          <cell r="N199">
            <v>13</v>
          </cell>
          <cell r="O199">
            <v>9</v>
          </cell>
          <cell r="P199">
            <v>8</v>
          </cell>
          <cell r="Q199">
            <v>12</v>
          </cell>
          <cell r="R199">
            <v>12</v>
          </cell>
          <cell r="S199">
            <v>8</v>
          </cell>
          <cell r="T199">
            <v>4</v>
          </cell>
          <cell r="U199">
            <v>9</v>
          </cell>
          <cell r="V199">
            <v>4</v>
          </cell>
          <cell r="W199">
            <v>7</v>
          </cell>
          <cell r="X199">
            <v>8</v>
          </cell>
          <cell r="Y199">
            <v>4</v>
          </cell>
        </row>
      </sheetData>
      <sheetData sheetId="63"/>
      <sheetData sheetId="64"/>
      <sheetData sheetId="65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9</v>
          </cell>
          <cell r="K61">
            <v>7</v>
          </cell>
        </row>
        <row r="62">
          <cell r="J62">
            <v>5</v>
          </cell>
          <cell r="K62">
            <v>4</v>
          </cell>
        </row>
        <row r="199">
          <cell r="F199">
            <v>9</v>
          </cell>
          <cell r="G199">
            <v>4</v>
          </cell>
          <cell r="H199">
            <v>8</v>
          </cell>
          <cell r="I199">
            <v>10</v>
          </cell>
          <cell r="J199">
            <v>6</v>
          </cell>
          <cell r="K199">
            <v>5</v>
          </cell>
          <cell r="L199">
            <v>4</v>
          </cell>
          <cell r="M199">
            <v>2</v>
          </cell>
          <cell r="N199">
            <v>1</v>
          </cell>
          <cell r="O199">
            <v>3</v>
          </cell>
          <cell r="P199">
            <v>7</v>
          </cell>
          <cell r="Q199">
            <v>9</v>
          </cell>
          <cell r="R199">
            <v>16</v>
          </cell>
          <cell r="S199">
            <v>14</v>
          </cell>
          <cell r="T199">
            <v>8</v>
          </cell>
          <cell r="U199">
            <v>6</v>
          </cell>
          <cell r="V199">
            <v>3</v>
          </cell>
          <cell r="W199">
            <v>8</v>
          </cell>
          <cell r="X199">
            <v>7</v>
          </cell>
          <cell r="Y199">
            <v>6</v>
          </cell>
        </row>
      </sheetData>
      <sheetData sheetId="66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1</v>
          </cell>
          <cell r="I199">
            <v>0</v>
          </cell>
          <cell r="J199">
            <v>1</v>
          </cell>
          <cell r="K199">
            <v>0</v>
          </cell>
          <cell r="L199">
            <v>1</v>
          </cell>
          <cell r="M199">
            <v>0</v>
          </cell>
          <cell r="N199">
            <v>0</v>
          </cell>
          <cell r="O199">
            <v>1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1</v>
          </cell>
          <cell r="W199">
            <v>0</v>
          </cell>
          <cell r="X199">
            <v>1</v>
          </cell>
          <cell r="Y199">
            <v>0</v>
          </cell>
        </row>
      </sheetData>
      <sheetData sheetId="67"/>
      <sheetData sheetId="68"/>
      <sheetData sheetId="69"/>
      <sheetData sheetId="70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</sheetData>
      <sheetData sheetId="71"/>
      <sheetData sheetId="72">
        <row r="25">
          <cell r="J25">
            <v>0</v>
          </cell>
          <cell r="K25">
            <v>0</v>
          </cell>
          <cell r="L25">
            <v>1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2</v>
          </cell>
          <cell r="M27">
            <v>0</v>
          </cell>
        </row>
        <row r="61">
          <cell r="J61">
            <v>13</v>
          </cell>
          <cell r="K61">
            <v>7</v>
          </cell>
        </row>
        <row r="62">
          <cell r="J62">
            <v>10</v>
          </cell>
          <cell r="K62">
            <v>7</v>
          </cell>
        </row>
        <row r="199">
          <cell r="F199">
            <v>14</v>
          </cell>
          <cell r="G199">
            <v>11</v>
          </cell>
          <cell r="H199">
            <v>6</v>
          </cell>
          <cell r="I199">
            <v>9</v>
          </cell>
          <cell r="J199">
            <v>10</v>
          </cell>
          <cell r="K199">
            <v>12</v>
          </cell>
          <cell r="L199">
            <v>5</v>
          </cell>
          <cell r="M199">
            <v>7</v>
          </cell>
          <cell r="N199">
            <v>2</v>
          </cell>
          <cell r="O199">
            <v>7</v>
          </cell>
          <cell r="P199">
            <v>5</v>
          </cell>
          <cell r="Q199">
            <v>5</v>
          </cell>
          <cell r="R199">
            <v>14</v>
          </cell>
          <cell r="S199">
            <v>11</v>
          </cell>
          <cell r="T199">
            <v>9</v>
          </cell>
          <cell r="U199">
            <v>5</v>
          </cell>
          <cell r="V199">
            <v>6</v>
          </cell>
          <cell r="W199">
            <v>2</v>
          </cell>
          <cell r="X199">
            <v>1</v>
          </cell>
          <cell r="Y199">
            <v>2</v>
          </cell>
        </row>
      </sheetData>
      <sheetData sheetId="73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1</v>
          </cell>
        </row>
        <row r="62">
          <cell r="J62">
            <v>0</v>
          </cell>
          <cell r="K62">
            <v>1</v>
          </cell>
        </row>
        <row r="199">
          <cell r="F199">
            <v>0</v>
          </cell>
          <cell r="G199">
            <v>1</v>
          </cell>
          <cell r="H199">
            <v>1</v>
          </cell>
          <cell r="I199">
            <v>0</v>
          </cell>
          <cell r="J199">
            <v>1</v>
          </cell>
          <cell r="K199">
            <v>5</v>
          </cell>
          <cell r="L199">
            <v>3</v>
          </cell>
          <cell r="M199">
            <v>1</v>
          </cell>
          <cell r="N199">
            <v>4</v>
          </cell>
          <cell r="O199">
            <v>1</v>
          </cell>
          <cell r="P199">
            <v>2</v>
          </cell>
          <cell r="Q199">
            <v>1</v>
          </cell>
          <cell r="R199">
            <v>0</v>
          </cell>
          <cell r="S199">
            <v>0</v>
          </cell>
          <cell r="T199">
            <v>4</v>
          </cell>
          <cell r="U199">
            <v>1</v>
          </cell>
          <cell r="V199">
            <v>3</v>
          </cell>
          <cell r="W199">
            <v>0</v>
          </cell>
          <cell r="X199">
            <v>1</v>
          </cell>
          <cell r="Y199">
            <v>1</v>
          </cell>
        </row>
      </sheetData>
      <sheetData sheetId="74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75"/>
      <sheetData sheetId="76"/>
      <sheetData sheetId="77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3</v>
          </cell>
          <cell r="K61">
            <v>0</v>
          </cell>
        </row>
        <row r="62">
          <cell r="J62">
            <v>3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3</v>
          </cell>
          <cell r="I199">
            <v>1</v>
          </cell>
          <cell r="J199">
            <v>2</v>
          </cell>
          <cell r="K199">
            <v>2</v>
          </cell>
          <cell r="L199">
            <v>2</v>
          </cell>
          <cell r="M199">
            <v>2</v>
          </cell>
          <cell r="N199">
            <v>1</v>
          </cell>
          <cell r="O199">
            <v>3</v>
          </cell>
          <cell r="P199">
            <v>7</v>
          </cell>
          <cell r="Q199">
            <v>4</v>
          </cell>
          <cell r="R199">
            <v>5</v>
          </cell>
          <cell r="S199">
            <v>3</v>
          </cell>
          <cell r="T199">
            <v>2</v>
          </cell>
          <cell r="U199">
            <v>3</v>
          </cell>
          <cell r="V199">
            <v>3</v>
          </cell>
          <cell r="W199">
            <v>4</v>
          </cell>
          <cell r="X199">
            <v>3</v>
          </cell>
          <cell r="Y199">
            <v>1</v>
          </cell>
        </row>
      </sheetData>
      <sheetData sheetId="78">
        <row r="25">
          <cell r="J25">
            <v>0</v>
          </cell>
          <cell r="K25">
            <v>0</v>
          </cell>
          <cell r="L25">
            <v>0</v>
          </cell>
          <cell r="M25">
            <v>1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1</v>
          </cell>
        </row>
        <row r="62">
          <cell r="J62">
            <v>0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1</v>
          </cell>
          <cell r="J199">
            <v>1</v>
          </cell>
          <cell r="K199">
            <v>4</v>
          </cell>
          <cell r="L199">
            <v>1</v>
          </cell>
          <cell r="M199">
            <v>0</v>
          </cell>
          <cell r="N199">
            <v>3</v>
          </cell>
          <cell r="O199">
            <v>2</v>
          </cell>
          <cell r="P199">
            <v>2</v>
          </cell>
          <cell r="Q199">
            <v>4</v>
          </cell>
          <cell r="R199">
            <v>5</v>
          </cell>
          <cell r="S199">
            <v>4</v>
          </cell>
          <cell r="T199">
            <v>0</v>
          </cell>
          <cell r="U199">
            <v>1</v>
          </cell>
          <cell r="V199">
            <v>2</v>
          </cell>
          <cell r="W199">
            <v>1</v>
          </cell>
          <cell r="X199">
            <v>2</v>
          </cell>
          <cell r="Y199">
            <v>2</v>
          </cell>
        </row>
      </sheetData>
      <sheetData sheetId="79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1</v>
          </cell>
          <cell r="I199">
            <v>0</v>
          </cell>
          <cell r="J199">
            <v>0</v>
          </cell>
          <cell r="K199">
            <v>1</v>
          </cell>
          <cell r="L199">
            <v>0</v>
          </cell>
          <cell r="M199">
            <v>0</v>
          </cell>
          <cell r="N199">
            <v>1</v>
          </cell>
          <cell r="O199">
            <v>3</v>
          </cell>
          <cell r="P199">
            <v>0</v>
          </cell>
          <cell r="Q199">
            <v>0</v>
          </cell>
          <cell r="R199">
            <v>3</v>
          </cell>
          <cell r="S199">
            <v>1</v>
          </cell>
          <cell r="T199">
            <v>0</v>
          </cell>
          <cell r="U199">
            <v>2</v>
          </cell>
          <cell r="V199">
            <v>2</v>
          </cell>
          <cell r="W199">
            <v>1</v>
          </cell>
          <cell r="X199">
            <v>0</v>
          </cell>
          <cell r="Y199">
            <v>1</v>
          </cell>
        </row>
      </sheetData>
      <sheetData sheetId="80"/>
      <sheetData sheetId="81">
        <row r="25">
          <cell r="J25">
            <v>0</v>
          </cell>
          <cell r="K25">
            <v>0</v>
          </cell>
          <cell r="L25">
            <v>3</v>
          </cell>
          <cell r="M25">
            <v>1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16</v>
          </cell>
          <cell r="K61">
            <v>17</v>
          </cell>
        </row>
        <row r="62">
          <cell r="J62">
            <v>10</v>
          </cell>
          <cell r="K62">
            <v>10</v>
          </cell>
        </row>
        <row r="199">
          <cell r="F199">
            <v>18</v>
          </cell>
          <cell r="G199">
            <v>20</v>
          </cell>
          <cell r="H199">
            <v>15</v>
          </cell>
          <cell r="I199">
            <v>14</v>
          </cell>
          <cell r="J199">
            <v>13</v>
          </cell>
          <cell r="K199">
            <v>10</v>
          </cell>
          <cell r="L199">
            <v>12</v>
          </cell>
          <cell r="M199">
            <v>15</v>
          </cell>
          <cell r="N199">
            <v>12</v>
          </cell>
          <cell r="O199">
            <v>25</v>
          </cell>
          <cell r="P199">
            <v>19</v>
          </cell>
          <cell r="Q199">
            <v>19</v>
          </cell>
          <cell r="R199">
            <v>24</v>
          </cell>
          <cell r="S199">
            <v>22</v>
          </cell>
          <cell r="T199">
            <v>26</v>
          </cell>
          <cell r="U199">
            <v>16</v>
          </cell>
          <cell r="V199">
            <v>16</v>
          </cell>
          <cell r="W199">
            <v>24</v>
          </cell>
          <cell r="X199">
            <v>13</v>
          </cell>
          <cell r="Y199">
            <v>20</v>
          </cell>
        </row>
      </sheetData>
      <sheetData sheetId="82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2</v>
          </cell>
        </row>
        <row r="62">
          <cell r="J62">
            <v>0</v>
          </cell>
          <cell r="K62">
            <v>1</v>
          </cell>
        </row>
        <row r="199">
          <cell r="F199">
            <v>0</v>
          </cell>
          <cell r="G199">
            <v>1</v>
          </cell>
          <cell r="H199">
            <v>0</v>
          </cell>
          <cell r="I199">
            <v>0</v>
          </cell>
          <cell r="J199">
            <v>0</v>
          </cell>
          <cell r="K199">
            <v>1</v>
          </cell>
          <cell r="L199">
            <v>0</v>
          </cell>
          <cell r="M199">
            <v>1</v>
          </cell>
          <cell r="N199">
            <v>0</v>
          </cell>
          <cell r="O199">
            <v>0</v>
          </cell>
          <cell r="P199">
            <v>1</v>
          </cell>
          <cell r="Q199">
            <v>0</v>
          </cell>
          <cell r="R199">
            <v>3</v>
          </cell>
          <cell r="S199">
            <v>2</v>
          </cell>
          <cell r="T199">
            <v>2</v>
          </cell>
          <cell r="U199">
            <v>1</v>
          </cell>
          <cell r="V199">
            <v>0</v>
          </cell>
          <cell r="W199">
            <v>0</v>
          </cell>
          <cell r="X199">
            <v>2</v>
          </cell>
          <cell r="Y199">
            <v>2</v>
          </cell>
        </row>
      </sheetData>
      <sheetData sheetId="83">
        <row r="25">
          <cell r="J25">
            <v>0</v>
          </cell>
          <cell r="K25">
            <v>0</v>
          </cell>
          <cell r="L25">
            <v>0</v>
          </cell>
          <cell r="M25">
            <v>1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2</v>
          </cell>
          <cell r="L199">
            <v>0</v>
          </cell>
          <cell r="M199">
            <v>1</v>
          </cell>
          <cell r="N199">
            <v>2</v>
          </cell>
          <cell r="O199">
            <v>0</v>
          </cell>
          <cell r="P199">
            <v>1</v>
          </cell>
          <cell r="Q199">
            <v>3</v>
          </cell>
          <cell r="R199">
            <v>1</v>
          </cell>
          <cell r="S199">
            <v>3</v>
          </cell>
          <cell r="T199">
            <v>1</v>
          </cell>
          <cell r="U199">
            <v>1</v>
          </cell>
          <cell r="V199">
            <v>1</v>
          </cell>
          <cell r="W199">
            <v>2</v>
          </cell>
          <cell r="X199">
            <v>1</v>
          </cell>
          <cell r="Y199">
            <v>1</v>
          </cell>
        </row>
      </sheetData>
      <sheetData sheetId="84"/>
      <sheetData sheetId="85">
        <row r="25">
          <cell r="J25">
            <v>0</v>
          </cell>
          <cell r="K25">
            <v>0</v>
          </cell>
          <cell r="L25">
            <v>1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9</v>
          </cell>
          <cell r="K61">
            <v>10</v>
          </cell>
        </row>
        <row r="62">
          <cell r="J62">
            <v>6</v>
          </cell>
          <cell r="K62">
            <v>8</v>
          </cell>
        </row>
        <row r="199">
          <cell r="F199">
            <v>13</v>
          </cell>
          <cell r="G199">
            <v>11</v>
          </cell>
          <cell r="H199">
            <v>12</v>
          </cell>
          <cell r="I199">
            <v>10</v>
          </cell>
          <cell r="J199">
            <v>12</v>
          </cell>
          <cell r="K199">
            <v>11</v>
          </cell>
          <cell r="L199">
            <v>6</v>
          </cell>
          <cell r="M199">
            <v>4</v>
          </cell>
          <cell r="N199">
            <v>7</v>
          </cell>
          <cell r="O199">
            <v>9</v>
          </cell>
          <cell r="P199">
            <v>8</v>
          </cell>
          <cell r="Q199">
            <v>8</v>
          </cell>
          <cell r="R199">
            <v>10</v>
          </cell>
          <cell r="S199">
            <v>13</v>
          </cell>
          <cell r="T199">
            <v>10</v>
          </cell>
          <cell r="U199">
            <v>13</v>
          </cell>
          <cell r="V199">
            <v>9</v>
          </cell>
          <cell r="W199">
            <v>10</v>
          </cell>
          <cell r="X199">
            <v>6</v>
          </cell>
          <cell r="Y199">
            <v>12</v>
          </cell>
        </row>
      </sheetData>
      <sheetData sheetId="86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87">
        <row r="25">
          <cell r="J25">
            <v>0</v>
          </cell>
          <cell r="K25">
            <v>0</v>
          </cell>
          <cell r="L25">
            <v>1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1</v>
          </cell>
          <cell r="K61">
            <v>0</v>
          </cell>
        </row>
        <row r="62">
          <cell r="J62">
            <v>1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88"/>
      <sheetData sheetId="89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11</v>
          </cell>
          <cell r="K61">
            <v>12</v>
          </cell>
        </row>
        <row r="62">
          <cell r="J62">
            <v>11</v>
          </cell>
          <cell r="K62">
            <v>10</v>
          </cell>
        </row>
        <row r="199">
          <cell r="F199">
            <v>15</v>
          </cell>
          <cell r="G199">
            <v>14</v>
          </cell>
          <cell r="H199">
            <v>7</v>
          </cell>
          <cell r="I199">
            <v>5</v>
          </cell>
          <cell r="J199">
            <v>16</v>
          </cell>
          <cell r="K199">
            <v>20</v>
          </cell>
          <cell r="L199">
            <v>13</v>
          </cell>
          <cell r="M199">
            <v>10</v>
          </cell>
          <cell r="N199">
            <v>6</v>
          </cell>
          <cell r="O199">
            <v>7</v>
          </cell>
          <cell r="P199">
            <v>6</v>
          </cell>
          <cell r="Q199">
            <v>10</v>
          </cell>
          <cell r="R199">
            <v>6</v>
          </cell>
          <cell r="S199">
            <v>16</v>
          </cell>
          <cell r="T199">
            <v>5</v>
          </cell>
          <cell r="U199">
            <v>7</v>
          </cell>
          <cell r="V199">
            <v>11</v>
          </cell>
          <cell r="W199">
            <v>11</v>
          </cell>
          <cell r="X199">
            <v>7</v>
          </cell>
          <cell r="Y199">
            <v>3</v>
          </cell>
        </row>
      </sheetData>
      <sheetData sheetId="90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1</v>
          </cell>
          <cell r="I199">
            <v>0</v>
          </cell>
          <cell r="J199">
            <v>0</v>
          </cell>
          <cell r="K199">
            <v>2</v>
          </cell>
          <cell r="L199">
            <v>3</v>
          </cell>
          <cell r="M199">
            <v>1</v>
          </cell>
          <cell r="N199">
            <v>1</v>
          </cell>
          <cell r="O199">
            <v>7</v>
          </cell>
          <cell r="P199">
            <v>1</v>
          </cell>
          <cell r="Q199">
            <v>2</v>
          </cell>
          <cell r="R199">
            <v>2</v>
          </cell>
          <cell r="S199">
            <v>0</v>
          </cell>
          <cell r="T199">
            <v>1</v>
          </cell>
          <cell r="U199">
            <v>2</v>
          </cell>
          <cell r="V199">
            <v>2</v>
          </cell>
          <cell r="W199">
            <v>1</v>
          </cell>
          <cell r="X199">
            <v>2</v>
          </cell>
          <cell r="Y199">
            <v>2</v>
          </cell>
        </row>
      </sheetData>
      <sheetData sheetId="91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199">
          <cell r="F199">
            <v>1</v>
          </cell>
          <cell r="G199">
            <v>0</v>
          </cell>
          <cell r="H199">
            <v>1</v>
          </cell>
          <cell r="I199">
            <v>1</v>
          </cell>
          <cell r="J199">
            <v>1</v>
          </cell>
          <cell r="K199">
            <v>1</v>
          </cell>
          <cell r="L199">
            <v>1</v>
          </cell>
          <cell r="M199">
            <v>4</v>
          </cell>
          <cell r="N199">
            <v>0</v>
          </cell>
          <cell r="O199">
            <v>1</v>
          </cell>
          <cell r="P199">
            <v>0</v>
          </cell>
          <cell r="Q199">
            <v>1</v>
          </cell>
          <cell r="R199">
            <v>1</v>
          </cell>
          <cell r="S199">
            <v>4</v>
          </cell>
          <cell r="T199">
            <v>4</v>
          </cell>
          <cell r="U199">
            <v>4</v>
          </cell>
          <cell r="V199">
            <v>6</v>
          </cell>
          <cell r="W199">
            <v>6</v>
          </cell>
          <cell r="X199">
            <v>1</v>
          </cell>
          <cell r="Y199">
            <v>1</v>
          </cell>
        </row>
      </sheetData>
      <sheetData sheetId="92"/>
      <sheetData sheetId="93">
        <row r="25">
          <cell r="J25">
            <v>0</v>
          </cell>
          <cell r="K25">
            <v>0</v>
          </cell>
          <cell r="L25">
            <v>1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16</v>
          </cell>
          <cell r="K61">
            <v>15</v>
          </cell>
        </row>
        <row r="62">
          <cell r="J62">
            <v>8</v>
          </cell>
          <cell r="K62">
            <v>4</v>
          </cell>
        </row>
        <row r="199">
          <cell r="F199">
            <v>12</v>
          </cell>
          <cell r="G199">
            <v>7</v>
          </cell>
          <cell r="H199">
            <v>5</v>
          </cell>
          <cell r="I199">
            <v>11</v>
          </cell>
          <cell r="J199">
            <v>17</v>
          </cell>
          <cell r="K199">
            <v>7</v>
          </cell>
          <cell r="L199">
            <v>4</v>
          </cell>
          <cell r="M199">
            <v>8</v>
          </cell>
          <cell r="N199">
            <v>8</v>
          </cell>
          <cell r="O199">
            <v>12</v>
          </cell>
          <cell r="P199">
            <v>12</v>
          </cell>
          <cell r="Q199">
            <v>10</v>
          </cell>
          <cell r="R199">
            <v>9</v>
          </cell>
          <cell r="S199">
            <v>15</v>
          </cell>
          <cell r="T199">
            <v>8</v>
          </cell>
          <cell r="U199">
            <v>4</v>
          </cell>
          <cell r="V199">
            <v>10</v>
          </cell>
          <cell r="W199">
            <v>5</v>
          </cell>
          <cell r="X199">
            <v>4</v>
          </cell>
          <cell r="Y199">
            <v>5</v>
          </cell>
        </row>
      </sheetData>
      <sheetData sheetId="94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2</v>
          </cell>
          <cell r="K199">
            <v>0</v>
          </cell>
          <cell r="L199">
            <v>0</v>
          </cell>
          <cell r="M199">
            <v>0</v>
          </cell>
          <cell r="N199">
            <v>2</v>
          </cell>
          <cell r="O199">
            <v>2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1</v>
          </cell>
          <cell r="V199">
            <v>2</v>
          </cell>
          <cell r="W199">
            <v>0</v>
          </cell>
          <cell r="X199">
            <v>1</v>
          </cell>
          <cell r="Y199">
            <v>0</v>
          </cell>
        </row>
      </sheetData>
      <sheetData sheetId="95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1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96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1</v>
          </cell>
          <cell r="K199">
            <v>0</v>
          </cell>
          <cell r="L199">
            <v>1</v>
          </cell>
          <cell r="M199">
            <v>0</v>
          </cell>
          <cell r="N199">
            <v>1</v>
          </cell>
          <cell r="O199">
            <v>0</v>
          </cell>
          <cell r="P199">
            <v>2</v>
          </cell>
          <cell r="Q199">
            <v>0</v>
          </cell>
          <cell r="R199">
            <v>2</v>
          </cell>
          <cell r="S199">
            <v>2</v>
          </cell>
          <cell r="T199">
            <v>2</v>
          </cell>
          <cell r="U199">
            <v>2</v>
          </cell>
          <cell r="V199">
            <v>0</v>
          </cell>
          <cell r="W199">
            <v>0</v>
          </cell>
          <cell r="X199">
            <v>2</v>
          </cell>
          <cell r="Y199">
            <v>3</v>
          </cell>
        </row>
      </sheetData>
      <sheetData sheetId="97"/>
      <sheetData sheetId="98"/>
      <sheetData sheetId="99"/>
      <sheetData sheetId="100">
        <row r="25">
          <cell r="J25">
            <v>3</v>
          </cell>
          <cell r="K25">
            <v>1</v>
          </cell>
          <cell r="L25">
            <v>1</v>
          </cell>
          <cell r="M25">
            <v>2</v>
          </cell>
        </row>
        <row r="27">
          <cell r="J27">
            <v>0</v>
          </cell>
          <cell r="K27">
            <v>1</v>
          </cell>
          <cell r="L27">
            <v>2</v>
          </cell>
          <cell r="M27">
            <v>1</v>
          </cell>
        </row>
        <row r="61">
          <cell r="J61">
            <v>75</v>
          </cell>
          <cell r="K61">
            <v>77</v>
          </cell>
        </row>
        <row r="62">
          <cell r="J62">
            <v>39</v>
          </cell>
          <cell r="K62">
            <v>29</v>
          </cell>
        </row>
        <row r="199">
          <cell r="F199">
            <v>72</v>
          </cell>
          <cell r="G199">
            <v>91</v>
          </cell>
          <cell r="H199">
            <v>51</v>
          </cell>
          <cell r="I199">
            <v>36</v>
          </cell>
          <cell r="J199">
            <v>42</v>
          </cell>
          <cell r="K199">
            <v>37</v>
          </cell>
          <cell r="L199">
            <v>45</v>
          </cell>
          <cell r="M199">
            <v>40</v>
          </cell>
          <cell r="N199">
            <v>44</v>
          </cell>
          <cell r="O199">
            <v>39</v>
          </cell>
          <cell r="P199">
            <v>40</v>
          </cell>
          <cell r="Q199">
            <v>45</v>
          </cell>
          <cell r="R199">
            <v>64</v>
          </cell>
          <cell r="S199">
            <v>52</v>
          </cell>
          <cell r="T199">
            <v>30</v>
          </cell>
          <cell r="U199">
            <v>46</v>
          </cell>
          <cell r="V199">
            <v>33</v>
          </cell>
          <cell r="W199">
            <v>37</v>
          </cell>
          <cell r="X199">
            <v>46</v>
          </cell>
          <cell r="Y199">
            <v>53</v>
          </cell>
        </row>
      </sheetData>
      <sheetData sheetId="101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10</v>
          </cell>
          <cell r="K61">
            <v>11</v>
          </cell>
        </row>
        <row r="62">
          <cell r="J62">
            <v>7</v>
          </cell>
          <cell r="K62">
            <v>6</v>
          </cell>
        </row>
        <row r="199">
          <cell r="F199">
            <v>10</v>
          </cell>
          <cell r="G199">
            <v>14</v>
          </cell>
          <cell r="H199">
            <v>9</v>
          </cell>
          <cell r="I199">
            <v>9</v>
          </cell>
          <cell r="J199">
            <v>10</v>
          </cell>
          <cell r="K199">
            <v>10</v>
          </cell>
          <cell r="L199">
            <v>12</v>
          </cell>
          <cell r="M199">
            <v>11</v>
          </cell>
          <cell r="N199">
            <v>11</v>
          </cell>
          <cell r="O199">
            <v>7</v>
          </cell>
          <cell r="P199">
            <v>17</v>
          </cell>
          <cell r="Q199">
            <v>8</v>
          </cell>
          <cell r="R199">
            <v>14</v>
          </cell>
          <cell r="S199">
            <v>12</v>
          </cell>
          <cell r="T199">
            <v>13</v>
          </cell>
          <cell r="U199">
            <v>9</v>
          </cell>
          <cell r="V199">
            <v>15</v>
          </cell>
          <cell r="W199">
            <v>9</v>
          </cell>
          <cell r="X199">
            <v>5</v>
          </cell>
          <cell r="Y199">
            <v>15</v>
          </cell>
        </row>
      </sheetData>
      <sheetData sheetId="102"/>
      <sheetData sheetId="103">
        <row r="25">
          <cell r="J25">
            <v>0</v>
          </cell>
          <cell r="K25">
            <v>0</v>
          </cell>
          <cell r="L25">
            <v>9</v>
          </cell>
          <cell r="M25">
            <v>3</v>
          </cell>
        </row>
        <row r="27">
          <cell r="J27">
            <v>0</v>
          </cell>
          <cell r="K27">
            <v>1</v>
          </cell>
          <cell r="L27">
            <v>1</v>
          </cell>
          <cell r="M27">
            <v>1</v>
          </cell>
        </row>
        <row r="61">
          <cell r="J61">
            <v>54</v>
          </cell>
          <cell r="K61">
            <v>45</v>
          </cell>
        </row>
        <row r="199">
          <cell r="F199">
            <v>54</v>
          </cell>
          <cell r="G199">
            <v>68</v>
          </cell>
          <cell r="H199">
            <v>52</v>
          </cell>
          <cell r="I199">
            <v>48</v>
          </cell>
          <cell r="J199">
            <v>43</v>
          </cell>
          <cell r="K199">
            <v>51</v>
          </cell>
          <cell r="L199">
            <v>26</v>
          </cell>
          <cell r="M199">
            <v>30</v>
          </cell>
          <cell r="N199">
            <v>33</v>
          </cell>
          <cell r="O199">
            <v>45</v>
          </cell>
          <cell r="P199">
            <v>26</v>
          </cell>
          <cell r="Q199">
            <v>29</v>
          </cell>
          <cell r="R199">
            <v>56</v>
          </cell>
          <cell r="S199">
            <v>53</v>
          </cell>
          <cell r="T199">
            <v>32</v>
          </cell>
          <cell r="U199">
            <v>31</v>
          </cell>
          <cell r="V199">
            <v>23</v>
          </cell>
          <cell r="W199">
            <v>33</v>
          </cell>
          <cell r="X199">
            <v>29</v>
          </cell>
          <cell r="Y199">
            <v>24</v>
          </cell>
        </row>
      </sheetData>
      <sheetData sheetId="104">
        <row r="25">
          <cell r="J25">
            <v>1</v>
          </cell>
          <cell r="K25">
            <v>0</v>
          </cell>
          <cell r="L25">
            <v>1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7</v>
          </cell>
          <cell r="K61">
            <v>8</v>
          </cell>
        </row>
        <row r="199">
          <cell r="F199">
            <v>10</v>
          </cell>
          <cell r="G199">
            <v>6</v>
          </cell>
          <cell r="H199">
            <v>2</v>
          </cell>
          <cell r="I199">
            <v>6</v>
          </cell>
          <cell r="J199">
            <v>2</v>
          </cell>
          <cell r="K199">
            <v>4</v>
          </cell>
          <cell r="L199">
            <v>4</v>
          </cell>
          <cell r="M199">
            <v>6</v>
          </cell>
          <cell r="N199">
            <v>3</v>
          </cell>
          <cell r="O199">
            <v>10</v>
          </cell>
          <cell r="P199">
            <v>1</v>
          </cell>
          <cell r="Q199">
            <v>7</v>
          </cell>
          <cell r="R199">
            <v>8</v>
          </cell>
          <cell r="S199">
            <v>10</v>
          </cell>
          <cell r="T199">
            <v>5</v>
          </cell>
          <cell r="U199">
            <v>5</v>
          </cell>
          <cell r="V199">
            <v>5</v>
          </cell>
          <cell r="W199">
            <v>5</v>
          </cell>
          <cell r="X199">
            <v>5</v>
          </cell>
          <cell r="Y199">
            <v>4</v>
          </cell>
        </row>
      </sheetData>
      <sheetData sheetId="105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4</v>
          </cell>
          <cell r="K61">
            <v>3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106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107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108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109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110"/>
      <sheetData sheetId="111">
        <row r="25">
          <cell r="J25">
            <v>0</v>
          </cell>
          <cell r="K25">
            <v>1</v>
          </cell>
          <cell r="L25">
            <v>6</v>
          </cell>
          <cell r="M25">
            <v>4</v>
          </cell>
        </row>
        <row r="27">
          <cell r="J27">
            <v>0</v>
          </cell>
          <cell r="K27">
            <v>0</v>
          </cell>
          <cell r="L27">
            <v>1</v>
          </cell>
          <cell r="M27">
            <v>1</v>
          </cell>
        </row>
        <row r="61">
          <cell r="J61">
            <v>61</v>
          </cell>
          <cell r="K61">
            <v>61</v>
          </cell>
        </row>
        <row r="62">
          <cell r="J62">
            <v>33</v>
          </cell>
          <cell r="K62">
            <v>35</v>
          </cell>
        </row>
        <row r="199">
          <cell r="F199">
            <v>69</v>
          </cell>
          <cell r="G199">
            <v>68</v>
          </cell>
          <cell r="H199">
            <v>49</v>
          </cell>
          <cell r="I199">
            <v>47</v>
          </cell>
          <cell r="J199">
            <v>51</v>
          </cell>
          <cell r="K199">
            <v>49</v>
          </cell>
          <cell r="L199">
            <v>29</v>
          </cell>
          <cell r="M199">
            <v>37</v>
          </cell>
          <cell r="N199">
            <v>45</v>
          </cell>
          <cell r="O199">
            <v>39</v>
          </cell>
          <cell r="P199">
            <v>59</v>
          </cell>
          <cell r="Q199">
            <v>53</v>
          </cell>
          <cell r="R199">
            <v>52</v>
          </cell>
          <cell r="S199">
            <v>45</v>
          </cell>
          <cell r="T199">
            <v>52</v>
          </cell>
          <cell r="U199">
            <v>68</v>
          </cell>
          <cell r="V199">
            <v>51</v>
          </cell>
          <cell r="W199">
            <v>44</v>
          </cell>
          <cell r="X199">
            <v>58</v>
          </cell>
          <cell r="Y199">
            <v>49</v>
          </cell>
        </row>
      </sheetData>
      <sheetData sheetId="112">
        <row r="25">
          <cell r="J25">
            <v>0</v>
          </cell>
          <cell r="K25">
            <v>0</v>
          </cell>
          <cell r="L25">
            <v>0</v>
          </cell>
          <cell r="M25">
            <v>1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14</v>
          </cell>
          <cell r="K61">
            <v>8</v>
          </cell>
        </row>
        <row r="62">
          <cell r="J62">
            <v>8</v>
          </cell>
          <cell r="K62">
            <v>5</v>
          </cell>
        </row>
        <row r="199">
          <cell r="F199">
            <v>9</v>
          </cell>
          <cell r="G199">
            <v>6</v>
          </cell>
          <cell r="H199">
            <v>4</v>
          </cell>
          <cell r="I199">
            <v>6</v>
          </cell>
          <cell r="J199">
            <v>6</v>
          </cell>
          <cell r="K199">
            <v>3</v>
          </cell>
          <cell r="L199">
            <v>5</v>
          </cell>
          <cell r="M199">
            <v>10</v>
          </cell>
          <cell r="N199">
            <v>8</v>
          </cell>
          <cell r="O199">
            <v>3</v>
          </cell>
          <cell r="P199">
            <v>4</v>
          </cell>
          <cell r="Q199">
            <v>3</v>
          </cell>
          <cell r="R199">
            <v>8</v>
          </cell>
          <cell r="S199">
            <v>13</v>
          </cell>
          <cell r="T199">
            <v>6</v>
          </cell>
          <cell r="U199">
            <v>8</v>
          </cell>
          <cell r="V199">
            <v>5</v>
          </cell>
          <cell r="W199">
            <v>6</v>
          </cell>
          <cell r="X199">
            <v>9</v>
          </cell>
          <cell r="Y199">
            <v>12</v>
          </cell>
        </row>
      </sheetData>
      <sheetData sheetId="113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4</v>
          </cell>
          <cell r="K61">
            <v>5</v>
          </cell>
        </row>
        <row r="62">
          <cell r="J62">
            <v>4</v>
          </cell>
          <cell r="K62">
            <v>2</v>
          </cell>
        </row>
        <row r="199">
          <cell r="F199">
            <v>3</v>
          </cell>
          <cell r="G199">
            <v>3</v>
          </cell>
          <cell r="H199">
            <v>4</v>
          </cell>
          <cell r="I199">
            <v>3</v>
          </cell>
          <cell r="J199">
            <v>7</v>
          </cell>
          <cell r="K199">
            <v>5</v>
          </cell>
          <cell r="L199">
            <v>0</v>
          </cell>
          <cell r="M199">
            <v>0</v>
          </cell>
          <cell r="N199">
            <v>5</v>
          </cell>
          <cell r="O199">
            <v>6</v>
          </cell>
          <cell r="P199">
            <v>2</v>
          </cell>
          <cell r="Q199">
            <v>5</v>
          </cell>
          <cell r="R199">
            <v>7</v>
          </cell>
          <cell r="S199">
            <v>8</v>
          </cell>
          <cell r="T199">
            <v>4</v>
          </cell>
          <cell r="U199">
            <v>8</v>
          </cell>
          <cell r="V199">
            <v>7</v>
          </cell>
          <cell r="W199">
            <v>8</v>
          </cell>
          <cell r="X199">
            <v>3</v>
          </cell>
          <cell r="Y199">
            <v>8</v>
          </cell>
        </row>
      </sheetData>
      <sheetData sheetId="114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2</v>
          </cell>
          <cell r="K61">
            <v>1</v>
          </cell>
        </row>
        <row r="62">
          <cell r="J62">
            <v>0</v>
          </cell>
          <cell r="K62">
            <v>1</v>
          </cell>
        </row>
        <row r="199">
          <cell r="F199">
            <v>3</v>
          </cell>
          <cell r="G199">
            <v>3</v>
          </cell>
          <cell r="H199">
            <v>7</v>
          </cell>
          <cell r="I199">
            <v>5</v>
          </cell>
          <cell r="J199">
            <v>6</v>
          </cell>
          <cell r="K199">
            <v>4</v>
          </cell>
          <cell r="L199">
            <v>1</v>
          </cell>
          <cell r="M199">
            <v>1</v>
          </cell>
          <cell r="N199">
            <v>3</v>
          </cell>
          <cell r="O199">
            <v>2</v>
          </cell>
          <cell r="P199">
            <v>3</v>
          </cell>
          <cell r="Q199">
            <v>4</v>
          </cell>
          <cell r="R199">
            <v>3</v>
          </cell>
          <cell r="S199">
            <v>6</v>
          </cell>
          <cell r="T199">
            <v>5</v>
          </cell>
          <cell r="U199">
            <v>3</v>
          </cell>
          <cell r="V199">
            <v>4</v>
          </cell>
          <cell r="W199">
            <v>3</v>
          </cell>
          <cell r="X199">
            <v>9</v>
          </cell>
          <cell r="Y199">
            <v>8</v>
          </cell>
        </row>
      </sheetData>
      <sheetData sheetId="115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3</v>
          </cell>
          <cell r="K61">
            <v>4</v>
          </cell>
        </row>
        <row r="62">
          <cell r="J62">
            <v>2</v>
          </cell>
          <cell r="K62">
            <v>4</v>
          </cell>
        </row>
        <row r="199">
          <cell r="F199">
            <v>3</v>
          </cell>
          <cell r="G199">
            <v>3</v>
          </cell>
          <cell r="H199">
            <v>4</v>
          </cell>
          <cell r="I199">
            <v>1</v>
          </cell>
          <cell r="J199">
            <v>1</v>
          </cell>
          <cell r="K199">
            <v>4</v>
          </cell>
          <cell r="L199">
            <v>2</v>
          </cell>
          <cell r="M199">
            <v>1</v>
          </cell>
          <cell r="N199">
            <v>1</v>
          </cell>
          <cell r="O199">
            <v>2</v>
          </cell>
          <cell r="P199">
            <v>2</v>
          </cell>
          <cell r="Q199">
            <v>2</v>
          </cell>
          <cell r="R199">
            <v>3</v>
          </cell>
          <cell r="S199">
            <v>13</v>
          </cell>
          <cell r="T199">
            <v>10</v>
          </cell>
          <cell r="U199">
            <v>12</v>
          </cell>
          <cell r="V199">
            <v>14</v>
          </cell>
          <cell r="W199">
            <v>4</v>
          </cell>
          <cell r="X199">
            <v>10</v>
          </cell>
          <cell r="Y199">
            <v>5</v>
          </cell>
        </row>
      </sheetData>
      <sheetData sheetId="116">
        <row r="25">
          <cell r="J25">
            <v>1</v>
          </cell>
          <cell r="K25">
            <v>0</v>
          </cell>
          <cell r="L25">
            <v>1</v>
          </cell>
          <cell r="M25">
            <v>6</v>
          </cell>
        </row>
        <row r="27">
          <cell r="J27">
            <v>0</v>
          </cell>
          <cell r="K27">
            <v>0</v>
          </cell>
          <cell r="L27">
            <v>1</v>
          </cell>
          <cell r="M27">
            <v>0</v>
          </cell>
        </row>
        <row r="61">
          <cell r="J61">
            <v>16</v>
          </cell>
          <cell r="K61">
            <v>16</v>
          </cell>
        </row>
        <row r="62">
          <cell r="J62">
            <v>10</v>
          </cell>
          <cell r="K62">
            <v>13</v>
          </cell>
        </row>
        <row r="199">
          <cell r="F199">
            <v>16</v>
          </cell>
          <cell r="G199">
            <v>20</v>
          </cell>
          <cell r="H199">
            <v>8</v>
          </cell>
          <cell r="I199">
            <v>9</v>
          </cell>
          <cell r="J199">
            <v>10</v>
          </cell>
          <cell r="K199">
            <v>11</v>
          </cell>
          <cell r="L199">
            <v>8</v>
          </cell>
          <cell r="M199">
            <v>12</v>
          </cell>
          <cell r="N199">
            <v>17</v>
          </cell>
          <cell r="O199">
            <v>14</v>
          </cell>
          <cell r="P199">
            <v>12</v>
          </cell>
          <cell r="Q199">
            <v>13</v>
          </cell>
          <cell r="R199">
            <v>12</v>
          </cell>
          <cell r="S199">
            <v>14</v>
          </cell>
          <cell r="T199">
            <v>9</v>
          </cell>
          <cell r="U199">
            <v>11</v>
          </cell>
          <cell r="V199">
            <v>12</v>
          </cell>
          <cell r="W199">
            <v>10</v>
          </cell>
          <cell r="X199">
            <v>10</v>
          </cell>
          <cell r="Y199">
            <v>6</v>
          </cell>
        </row>
      </sheetData>
      <sheetData sheetId="117"/>
      <sheetData sheetId="118">
        <row r="25">
          <cell r="J25">
            <v>0</v>
          </cell>
          <cell r="K25">
            <v>0</v>
          </cell>
          <cell r="L25">
            <v>2</v>
          </cell>
          <cell r="M25">
            <v>3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29</v>
          </cell>
          <cell r="K61">
            <v>33</v>
          </cell>
        </row>
        <row r="62">
          <cell r="J62">
            <v>23</v>
          </cell>
          <cell r="K62">
            <v>17</v>
          </cell>
        </row>
        <row r="199">
          <cell r="F199">
            <v>27</v>
          </cell>
          <cell r="G199">
            <v>24</v>
          </cell>
          <cell r="H199">
            <v>13</v>
          </cell>
          <cell r="I199">
            <v>14</v>
          </cell>
          <cell r="J199">
            <v>18</v>
          </cell>
          <cell r="K199">
            <v>13</v>
          </cell>
          <cell r="L199">
            <v>10</v>
          </cell>
          <cell r="M199">
            <v>17</v>
          </cell>
          <cell r="N199">
            <v>15</v>
          </cell>
          <cell r="O199">
            <v>21</v>
          </cell>
          <cell r="P199">
            <v>14</v>
          </cell>
          <cell r="Q199">
            <v>13</v>
          </cell>
          <cell r="R199">
            <v>26</v>
          </cell>
          <cell r="S199">
            <v>40</v>
          </cell>
          <cell r="T199">
            <v>14</v>
          </cell>
          <cell r="U199">
            <v>8</v>
          </cell>
          <cell r="V199">
            <v>14</v>
          </cell>
          <cell r="W199">
            <v>4</v>
          </cell>
          <cell r="X199">
            <v>14</v>
          </cell>
          <cell r="Y199">
            <v>11</v>
          </cell>
        </row>
      </sheetData>
      <sheetData sheetId="119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1</v>
          </cell>
        </row>
        <row r="61">
          <cell r="J61">
            <v>7</v>
          </cell>
          <cell r="K61">
            <v>10</v>
          </cell>
        </row>
        <row r="62">
          <cell r="J62">
            <v>3</v>
          </cell>
          <cell r="K62">
            <v>6</v>
          </cell>
        </row>
        <row r="199">
          <cell r="F199">
            <v>9</v>
          </cell>
          <cell r="G199">
            <v>15</v>
          </cell>
          <cell r="H199">
            <v>6</v>
          </cell>
          <cell r="I199">
            <v>11</v>
          </cell>
          <cell r="J199">
            <v>8</v>
          </cell>
          <cell r="K199">
            <v>2</v>
          </cell>
          <cell r="L199">
            <v>5</v>
          </cell>
          <cell r="M199">
            <v>6</v>
          </cell>
          <cell r="N199">
            <v>11</v>
          </cell>
          <cell r="O199">
            <v>10</v>
          </cell>
          <cell r="P199">
            <v>7</v>
          </cell>
          <cell r="Q199">
            <v>5</v>
          </cell>
          <cell r="R199">
            <v>7</v>
          </cell>
          <cell r="S199">
            <v>9</v>
          </cell>
          <cell r="T199">
            <v>11</v>
          </cell>
          <cell r="U199">
            <v>13</v>
          </cell>
          <cell r="V199">
            <v>5</v>
          </cell>
          <cell r="W199">
            <v>9</v>
          </cell>
          <cell r="X199">
            <v>12</v>
          </cell>
          <cell r="Y199">
            <v>10</v>
          </cell>
        </row>
      </sheetData>
      <sheetData sheetId="120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1</v>
          </cell>
          <cell r="K61">
            <v>2</v>
          </cell>
        </row>
        <row r="62">
          <cell r="J62">
            <v>1</v>
          </cell>
          <cell r="K62">
            <v>2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121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1</v>
          </cell>
          <cell r="K61">
            <v>1</v>
          </cell>
        </row>
        <row r="62">
          <cell r="J62">
            <v>1</v>
          </cell>
          <cell r="K62">
            <v>1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122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4</v>
          </cell>
          <cell r="K61">
            <v>2</v>
          </cell>
        </row>
        <row r="62">
          <cell r="J62">
            <v>3</v>
          </cell>
          <cell r="K62">
            <v>2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123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2</v>
          </cell>
          <cell r="K61">
            <v>0</v>
          </cell>
        </row>
        <row r="62">
          <cell r="J62">
            <v>2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124"/>
      <sheetData sheetId="125">
        <row r="25">
          <cell r="J25">
            <v>2</v>
          </cell>
          <cell r="K25">
            <v>0</v>
          </cell>
          <cell r="L25">
            <v>3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13</v>
          </cell>
          <cell r="K61">
            <v>15</v>
          </cell>
        </row>
        <row r="62">
          <cell r="J62">
            <v>12</v>
          </cell>
          <cell r="K62">
            <v>13</v>
          </cell>
        </row>
        <row r="199">
          <cell r="F199">
            <v>3</v>
          </cell>
          <cell r="G199">
            <v>4</v>
          </cell>
          <cell r="H199">
            <v>10</v>
          </cell>
          <cell r="I199">
            <v>9</v>
          </cell>
          <cell r="J199">
            <v>12</v>
          </cell>
          <cell r="K199">
            <v>11</v>
          </cell>
          <cell r="L199">
            <v>12</v>
          </cell>
          <cell r="M199">
            <v>11</v>
          </cell>
          <cell r="N199">
            <v>9</v>
          </cell>
          <cell r="O199">
            <v>13</v>
          </cell>
          <cell r="P199">
            <v>9</v>
          </cell>
          <cell r="Q199">
            <v>9</v>
          </cell>
          <cell r="R199">
            <v>8</v>
          </cell>
          <cell r="S199">
            <v>17</v>
          </cell>
          <cell r="T199">
            <v>4</v>
          </cell>
          <cell r="U199">
            <v>7</v>
          </cell>
          <cell r="V199">
            <v>9</v>
          </cell>
          <cell r="W199">
            <v>7</v>
          </cell>
          <cell r="X199">
            <v>6</v>
          </cell>
          <cell r="Y199">
            <v>7</v>
          </cell>
        </row>
      </sheetData>
      <sheetData sheetId="126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2</v>
          </cell>
          <cell r="K61">
            <v>0</v>
          </cell>
        </row>
        <row r="62">
          <cell r="J62">
            <v>2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127"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0</v>
          </cell>
          <cell r="K61">
            <v>0</v>
          </cell>
        </row>
        <row r="62">
          <cell r="J62">
            <v>0</v>
          </cell>
          <cell r="K62">
            <v>0</v>
          </cell>
        </row>
        <row r="199"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</row>
      </sheetData>
      <sheetData sheetId="128"/>
      <sheetData sheetId="129">
        <row r="25">
          <cell r="J25">
            <v>0</v>
          </cell>
          <cell r="K25">
            <v>0</v>
          </cell>
          <cell r="L25">
            <v>1</v>
          </cell>
          <cell r="M25">
            <v>3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34</v>
          </cell>
          <cell r="K61">
            <v>33</v>
          </cell>
        </row>
        <row r="62">
          <cell r="J62">
            <v>19</v>
          </cell>
          <cell r="K62">
            <v>18</v>
          </cell>
        </row>
        <row r="199">
          <cell r="F199">
            <v>22</v>
          </cell>
          <cell r="G199">
            <v>28</v>
          </cell>
          <cell r="H199">
            <v>13</v>
          </cell>
          <cell r="I199">
            <v>26</v>
          </cell>
          <cell r="J199">
            <v>22</v>
          </cell>
          <cell r="K199">
            <v>29</v>
          </cell>
          <cell r="L199">
            <v>24</v>
          </cell>
          <cell r="M199">
            <v>19</v>
          </cell>
          <cell r="N199">
            <v>17</v>
          </cell>
          <cell r="O199">
            <v>13</v>
          </cell>
          <cell r="P199">
            <v>10</v>
          </cell>
          <cell r="Q199">
            <v>14</v>
          </cell>
          <cell r="R199">
            <v>26</v>
          </cell>
          <cell r="S199">
            <v>18</v>
          </cell>
          <cell r="T199">
            <v>12</v>
          </cell>
          <cell r="U199">
            <v>7</v>
          </cell>
          <cell r="V199">
            <v>14</v>
          </cell>
          <cell r="W199">
            <v>16</v>
          </cell>
          <cell r="X199">
            <v>11</v>
          </cell>
          <cell r="Y199">
            <v>16</v>
          </cell>
        </row>
      </sheetData>
      <sheetData sheetId="130">
        <row r="25">
          <cell r="J25">
            <v>0</v>
          </cell>
          <cell r="K25">
            <v>1</v>
          </cell>
          <cell r="L25">
            <v>2</v>
          </cell>
          <cell r="M25">
            <v>2</v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61">
          <cell r="J61">
            <v>22</v>
          </cell>
          <cell r="K61">
            <v>18</v>
          </cell>
        </row>
        <row r="62">
          <cell r="J62">
            <v>11</v>
          </cell>
          <cell r="K62">
            <v>10</v>
          </cell>
        </row>
        <row r="199">
          <cell r="F199">
            <v>18</v>
          </cell>
          <cell r="G199">
            <v>12</v>
          </cell>
          <cell r="H199">
            <v>12</v>
          </cell>
          <cell r="I199">
            <v>8</v>
          </cell>
          <cell r="J199">
            <v>18</v>
          </cell>
          <cell r="K199">
            <v>7</v>
          </cell>
          <cell r="L199">
            <v>8</v>
          </cell>
          <cell r="M199">
            <v>11</v>
          </cell>
          <cell r="N199">
            <v>6</v>
          </cell>
          <cell r="O199">
            <v>9</v>
          </cell>
          <cell r="P199">
            <v>7</v>
          </cell>
          <cell r="Q199">
            <v>9</v>
          </cell>
          <cell r="R199">
            <v>19</v>
          </cell>
          <cell r="S199">
            <v>20</v>
          </cell>
          <cell r="T199">
            <v>1</v>
          </cell>
          <cell r="U199">
            <v>4</v>
          </cell>
          <cell r="V199">
            <v>5</v>
          </cell>
          <cell r="W199">
            <v>11</v>
          </cell>
          <cell r="X199">
            <v>9</v>
          </cell>
          <cell r="Y199">
            <v>5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Consolidado"/>
      <sheetName val="DIGUILLIN"/>
      <sheetName val="16101"/>
      <sheetName val="117010"/>
      <sheetName val="117301"/>
      <sheetName val="117701"/>
      <sheetName val="117302"/>
      <sheetName val="117702"/>
      <sheetName val="117799"/>
      <sheetName val="117405"/>
      <sheetName val="117303"/>
      <sheetName val="117410"/>
      <sheetName val="117304"/>
      <sheetName val="200261"/>
      <sheetName val="117322"/>
      <sheetName val="117324"/>
      <sheetName val="117330"/>
      <sheetName val="16102"/>
      <sheetName val="117103"/>
      <sheetName val="117326"/>
      <sheetName val="117426"/>
      <sheetName val="16103"/>
      <sheetName val="117328"/>
      <sheetName val="117413"/>
      <sheetName val="117414"/>
      <sheetName val="117331"/>
      <sheetName val="16104"/>
      <sheetName val="117107"/>
      <sheetName val="117435"/>
      <sheetName val="117436"/>
      <sheetName val="117437"/>
      <sheetName val="117438"/>
      <sheetName val="117457"/>
      <sheetName val="117473"/>
      <sheetName val="117474"/>
      <sheetName val="117475"/>
      <sheetName val="117476"/>
      <sheetName val="117477"/>
      <sheetName val="16105"/>
      <sheetName val="117310"/>
      <sheetName val="117430"/>
      <sheetName val="117431"/>
      <sheetName val="16106"/>
      <sheetName val="117317"/>
      <sheetName val="117409"/>
      <sheetName val="117469"/>
      <sheetName val="16107"/>
      <sheetName val="117306"/>
      <sheetName val="117706"/>
      <sheetName val="117448"/>
      <sheetName val="117449"/>
      <sheetName val="117472"/>
      <sheetName val="16108"/>
      <sheetName val="117308"/>
      <sheetName val="117454"/>
      <sheetName val="117319"/>
      <sheetName val="117455"/>
      <sheetName val="16109"/>
      <sheetName val="117104"/>
      <sheetName val="117315"/>
      <sheetName val="117458"/>
      <sheetName val="ITATA"/>
      <sheetName val="16201"/>
      <sheetName val="117106"/>
      <sheetName val="117434"/>
      <sheetName val="16202"/>
      <sheetName val="117307"/>
      <sheetName val="117451"/>
      <sheetName val="117452"/>
      <sheetName val="16203"/>
      <sheetName val="117108"/>
      <sheetName val="117439"/>
      <sheetName val="117442"/>
      <sheetName val="117445"/>
      <sheetName val="16204"/>
      <sheetName val="117314"/>
      <sheetName val="117433"/>
      <sheetName val="117463"/>
      <sheetName val="16205"/>
      <sheetName val="117305"/>
      <sheetName val="117447"/>
      <sheetName val="117459"/>
      <sheetName val="16206"/>
      <sheetName val="117316"/>
      <sheetName val="117427"/>
      <sheetName val="117465"/>
      <sheetName val="16207"/>
      <sheetName val="117327"/>
      <sheetName val="117443"/>
      <sheetName val="117444"/>
      <sheetName val="117446"/>
      <sheetName val="PUNILLA"/>
      <sheetName val="16301"/>
      <sheetName val="117329"/>
      <sheetName val="117729"/>
      <sheetName val="117311"/>
      <sheetName val="117415"/>
      <sheetName val="117416"/>
      <sheetName val="117421"/>
      <sheetName val="117423"/>
      <sheetName val="117461"/>
      <sheetName val="117462"/>
      <sheetName val="16302"/>
      <sheetName val="117318"/>
      <sheetName val="117401"/>
      <sheetName val="117403"/>
      <sheetName val="117406"/>
      <sheetName val="117407"/>
      <sheetName val="117325"/>
      <sheetName val="16303"/>
      <sheetName val="117313"/>
      <sheetName val="117418"/>
      <sheetName val="117419"/>
      <sheetName val="117422"/>
      <sheetName val="117464"/>
      <sheetName val="117468"/>
      <sheetName val="16304"/>
      <sheetName val="117309"/>
      <sheetName val="117467"/>
      <sheetName val="117470"/>
      <sheetName val="16305"/>
      <sheetName val="117312"/>
      <sheetName val="11747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1">
          <cell r="B11">
            <v>852</v>
          </cell>
        </row>
        <row r="12">
          <cell r="B12">
            <v>683</v>
          </cell>
        </row>
        <row r="13">
          <cell r="B13">
            <v>607</v>
          </cell>
        </row>
        <row r="14">
          <cell r="B14">
            <v>589</v>
          </cell>
        </row>
        <row r="15">
          <cell r="B15">
            <v>641</v>
          </cell>
        </row>
        <row r="16">
          <cell r="B16">
            <v>709</v>
          </cell>
        </row>
        <row r="17">
          <cell r="B17">
            <v>692</v>
          </cell>
        </row>
        <row r="18">
          <cell r="B18">
            <v>467</v>
          </cell>
        </row>
      </sheetData>
      <sheetData sheetId="8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9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0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1">
        <row r="11">
          <cell r="B11">
            <v>401</v>
          </cell>
        </row>
        <row r="12">
          <cell r="B12">
            <v>384</v>
          </cell>
        </row>
        <row r="13">
          <cell r="B13">
            <v>348</v>
          </cell>
        </row>
        <row r="14">
          <cell r="B14">
            <v>303</v>
          </cell>
        </row>
        <row r="15">
          <cell r="B15">
            <v>395</v>
          </cell>
        </row>
        <row r="16">
          <cell r="B16">
            <v>377</v>
          </cell>
        </row>
        <row r="17">
          <cell r="B17">
            <v>341</v>
          </cell>
        </row>
        <row r="18">
          <cell r="B18">
            <v>273</v>
          </cell>
        </row>
      </sheetData>
      <sheetData sheetId="12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3"/>
      <sheetData sheetId="14"/>
      <sheetData sheetId="15">
        <row r="11">
          <cell r="B11">
            <v>51</v>
          </cell>
        </row>
        <row r="12">
          <cell r="B12">
            <v>59</v>
          </cell>
        </row>
        <row r="13">
          <cell r="B13">
            <v>64</v>
          </cell>
        </row>
        <row r="14">
          <cell r="B14">
            <v>62</v>
          </cell>
        </row>
        <row r="15">
          <cell r="B15">
            <v>70</v>
          </cell>
        </row>
        <row r="16">
          <cell r="B16">
            <v>76</v>
          </cell>
        </row>
        <row r="17">
          <cell r="B17">
            <v>85</v>
          </cell>
        </row>
        <row r="18">
          <cell r="B18">
            <v>54</v>
          </cell>
        </row>
      </sheetData>
      <sheetData sheetId="16">
        <row r="11">
          <cell r="B11">
            <v>495</v>
          </cell>
        </row>
        <row r="12">
          <cell r="B12">
            <v>492</v>
          </cell>
        </row>
        <row r="13">
          <cell r="B13">
            <v>482</v>
          </cell>
        </row>
        <row r="14">
          <cell r="B14">
            <v>416</v>
          </cell>
        </row>
        <row r="15">
          <cell r="B15">
            <v>356</v>
          </cell>
        </row>
        <row r="16">
          <cell r="B16">
            <v>498</v>
          </cell>
        </row>
        <row r="17">
          <cell r="B17">
            <v>537</v>
          </cell>
        </row>
        <row r="18">
          <cell r="B18">
            <v>449</v>
          </cell>
        </row>
      </sheetData>
      <sheetData sheetId="17">
        <row r="11">
          <cell r="B11">
            <v>409</v>
          </cell>
        </row>
        <row r="12">
          <cell r="B12">
            <v>365</v>
          </cell>
        </row>
        <row r="13">
          <cell r="B13">
            <v>283</v>
          </cell>
        </row>
        <row r="14">
          <cell r="B14">
            <v>261</v>
          </cell>
        </row>
        <row r="15">
          <cell r="B15">
            <v>262</v>
          </cell>
        </row>
        <row r="16">
          <cell r="B16">
            <v>329</v>
          </cell>
        </row>
        <row r="17">
          <cell r="B17">
            <v>254</v>
          </cell>
        </row>
        <row r="18">
          <cell r="B18">
            <v>157</v>
          </cell>
        </row>
      </sheetData>
      <sheetData sheetId="18"/>
      <sheetData sheetId="19"/>
      <sheetData sheetId="20">
        <row r="11">
          <cell r="B11">
            <v>223</v>
          </cell>
        </row>
        <row r="12">
          <cell r="B12">
            <v>239</v>
          </cell>
        </row>
        <row r="13">
          <cell r="B13">
            <v>191</v>
          </cell>
        </row>
        <row r="14">
          <cell r="B14">
            <v>189</v>
          </cell>
        </row>
        <row r="15">
          <cell r="B15">
            <v>260</v>
          </cell>
        </row>
        <row r="16">
          <cell r="B16">
            <v>263</v>
          </cell>
        </row>
        <row r="17">
          <cell r="B17">
            <v>209</v>
          </cell>
        </row>
        <row r="18">
          <cell r="B18">
            <v>166</v>
          </cell>
        </row>
      </sheetData>
      <sheetData sheetId="21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22"/>
      <sheetData sheetId="23">
        <row r="11">
          <cell r="B11">
            <v>393</v>
          </cell>
        </row>
        <row r="12">
          <cell r="B12">
            <v>395</v>
          </cell>
        </row>
        <row r="13">
          <cell r="B13">
            <v>341</v>
          </cell>
        </row>
        <row r="14">
          <cell r="B14">
            <v>284</v>
          </cell>
        </row>
        <row r="15">
          <cell r="B15">
            <v>372</v>
          </cell>
        </row>
        <row r="16">
          <cell r="B16">
            <v>521</v>
          </cell>
        </row>
        <row r="17">
          <cell r="B17">
            <v>460</v>
          </cell>
        </row>
        <row r="18">
          <cell r="B18">
            <v>353</v>
          </cell>
        </row>
      </sheetData>
      <sheetData sheetId="24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25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26">
        <row r="11">
          <cell r="B11">
            <v>236</v>
          </cell>
        </row>
        <row r="12">
          <cell r="B12">
            <v>256</v>
          </cell>
        </row>
        <row r="13">
          <cell r="B13">
            <v>267</v>
          </cell>
        </row>
        <row r="14">
          <cell r="B14">
            <v>260</v>
          </cell>
        </row>
        <row r="15">
          <cell r="B15">
            <v>290</v>
          </cell>
        </row>
        <row r="16">
          <cell r="B16">
            <v>315</v>
          </cell>
        </row>
        <row r="17">
          <cell r="B17">
            <v>207</v>
          </cell>
        </row>
        <row r="18">
          <cell r="B18">
            <v>129</v>
          </cell>
        </row>
      </sheetData>
      <sheetData sheetId="27"/>
      <sheetData sheetId="28"/>
      <sheetData sheetId="29">
        <row r="11">
          <cell r="B11">
            <v>73</v>
          </cell>
        </row>
        <row r="12">
          <cell r="B12">
            <v>70</v>
          </cell>
        </row>
        <row r="13">
          <cell r="B13">
            <v>66</v>
          </cell>
        </row>
        <row r="14">
          <cell r="B14">
            <v>92</v>
          </cell>
        </row>
        <row r="15">
          <cell r="B15">
            <v>95</v>
          </cell>
        </row>
        <row r="16">
          <cell r="B16">
            <v>103</v>
          </cell>
        </row>
        <row r="17">
          <cell r="B17">
            <v>90</v>
          </cell>
        </row>
        <row r="18">
          <cell r="B18">
            <v>90</v>
          </cell>
        </row>
      </sheetData>
      <sheetData sheetId="30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1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2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3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4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5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6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7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8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39"/>
      <sheetData sheetId="40">
        <row r="11">
          <cell r="B11">
            <v>193</v>
          </cell>
        </row>
        <row r="12">
          <cell r="B12">
            <v>150</v>
          </cell>
        </row>
        <row r="13">
          <cell r="B13">
            <v>151</v>
          </cell>
        </row>
        <row r="14">
          <cell r="B14">
            <v>152</v>
          </cell>
        </row>
        <row r="15">
          <cell r="B15">
            <v>179</v>
          </cell>
        </row>
        <row r="16">
          <cell r="B16">
            <v>176</v>
          </cell>
        </row>
        <row r="17">
          <cell r="B17">
            <v>192</v>
          </cell>
        </row>
        <row r="18">
          <cell r="B18">
            <v>121</v>
          </cell>
        </row>
      </sheetData>
      <sheetData sheetId="41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42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43"/>
      <sheetData sheetId="44">
        <row r="11">
          <cell r="B11">
            <v>289</v>
          </cell>
        </row>
        <row r="12">
          <cell r="B12">
            <v>333</v>
          </cell>
        </row>
        <row r="13">
          <cell r="B13">
            <v>291</v>
          </cell>
        </row>
        <row r="14">
          <cell r="B14">
            <v>286</v>
          </cell>
        </row>
        <row r="15">
          <cell r="B15">
            <v>310</v>
          </cell>
        </row>
        <row r="16">
          <cell r="B16">
            <v>348</v>
          </cell>
        </row>
        <row r="17">
          <cell r="B17">
            <v>323</v>
          </cell>
        </row>
        <row r="18">
          <cell r="B18">
            <v>250</v>
          </cell>
        </row>
      </sheetData>
      <sheetData sheetId="45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46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47"/>
      <sheetData sheetId="48">
        <row r="11">
          <cell r="B11">
            <v>367</v>
          </cell>
        </row>
        <row r="12">
          <cell r="B12">
            <v>328</v>
          </cell>
        </row>
        <row r="13">
          <cell r="B13">
            <v>333</v>
          </cell>
        </row>
        <row r="14">
          <cell r="B14">
            <v>285</v>
          </cell>
        </row>
        <row r="15">
          <cell r="B15">
            <v>384</v>
          </cell>
        </row>
        <row r="16">
          <cell r="B16">
            <v>412</v>
          </cell>
        </row>
        <row r="17">
          <cell r="B17">
            <v>365</v>
          </cell>
        </row>
        <row r="18">
          <cell r="B18">
            <v>345</v>
          </cell>
        </row>
      </sheetData>
      <sheetData sheetId="49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50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51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52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53"/>
      <sheetData sheetId="54">
        <row r="11">
          <cell r="B11">
            <v>191</v>
          </cell>
        </row>
        <row r="12">
          <cell r="B12">
            <v>179</v>
          </cell>
        </row>
        <row r="13">
          <cell r="B13">
            <v>196</v>
          </cell>
        </row>
        <row r="14">
          <cell r="B14">
            <v>183</v>
          </cell>
        </row>
        <row r="15">
          <cell r="B15">
            <v>190</v>
          </cell>
        </row>
        <row r="16">
          <cell r="B16">
            <v>246</v>
          </cell>
        </row>
        <row r="17">
          <cell r="B17">
            <v>203</v>
          </cell>
        </row>
        <row r="18">
          <cell r="B18">
            <v>179</v>
          </cell>
        </row>
      </sheetData>
      <sheetData sheetId="55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56">
        <row r="11">
          <cell r="B11">
            <v>81</v>
          </cell>
        </row>
        <row r="12">
          <cell r="B12">
            <v>99</v>
          </cell>
        </row>
        <row r="13">
          <cell r="B13">
            <v>93</v>
          </cell>
        </row>
        <row r="14">
          <cell r="B14">
            <v>72</v>
          </cell>
        </row>
        <row r="15">
          <cell r="B15">
            <v>84</v>
          </cell>
        </row>
        <row r="16">
          <cell r="B16">
            <v>111</v>
          </cell>
        </row>
        <row r="17">
          <cell r="B17">
            <v>111</v>
          </cell>
        </row>
        <row r="18">
          <cell r="B18">
            <v>62</v>
          </cell>
        </row>
      </sheetData>
      <sheetData sheetId="57">
        <row r="11">
          <cell r="B11">
            <v>101</v>
          </cell>
        </row>
        <row r="12">
          <cell r="B12">
            <v>96</v>
          </cell>
        </row>
        <row r="13">
          <cell r="B13">
            <v>91</v>
          </cell>
        </row>
        <row r="14">
          <cell r="B14">
            <v>96</v>
          </cell>
        </row>
        <row r="15">
          <cell r="B15">
            <v>115</v>
          </cell>
        </row>
        <row r="16">
          <cell r="B16">
            <v>121</v>
          </cell>
        </row>
        <row r="17">
          <cell r="B17">
            <v>87</v>
          </cell>
        </row>
        <row r="18">
          <cell r="B18">
            <v>70</v>
          </cell>
        </row>
      </sheetData>
      <sheetData sheetId="58"/>
      <sheetData sheetId="59"/>
      <sheetData sheetId="60">
        <row r="11">
          <cell r="B11">
            <v>63</v>
          </cell>
        </row>
        <row r="12">
          <cell r="B12">
            <v>85</v>
          </cell>
        </row>
        <row r="13">
          <cell r="B13">
            <v>77</v>
          </cell>
        </row>
        <row r="14">
          <cell r="B14">
            <v>88</v>
          </cell>
        </row>
        <row r="15">
          <cell r="B15">
            <v>128</v>
          </cell>
        </row>
        <row r="16">
          <cell r="B16">
            <v>99</v>
          </cell>
        </row>
        <row r="17">
          <cell r="B17">
            <v>106</v>
          </cell>
        </row>
        <row r="18">
          <cell r="B18">
            <v>73</v>
          </cell>
        </row>
      </sheetData>
      <sheetData sheetId="61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62"/>
      <sheetData sheetId="63"/>
      <sheetData sheetId="64"/>
      <sheetData sheetId="65"/>
      <sheetData sheetId="66"/>
      <sheetData sheetId="67">
        <row r="11">
          <cell r="B11">
            <v>82</v>
          </cell>
        </row>
        <row r="12">
          <cell r="B12">
            <v>108</v>
          </cell>
        </row>
        <row r="13">
          <cell r="B13">
            <v>93</v>
          </cell>
        </row>
        <row r="14">
          <cell r="B14">
            <v>110</v>
          </cell>
        </row>
        <row r="15">
          <cell r="B15">
            <v>120</v>
          </cell>
        </row>
        <row r="16">
          <cell r="B16">
            <v>118</v>
          </cell>
        </row>
        <row r="17">
          <cell r="B17">
            <v>77</v>
          </cell>
        </row>
        <row r="18">
          <cell r="B18">
            <v>81</v>
          </cell>
        </row>
      </sheetData>
      <sheetData sheetId="68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69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70"/>
      <sheetData sheetId="71"/>
      <sheetData sheetId="72">
        <row r="11">
          <cell r="B11">
            <v>30</v>
          </cell>
        </row>
        <row r="12">
          <cell r="B12">
            <v>23</v>
          </cell>
        </row>
        <row r="13">
          <cell r="B13">
            <v>35</v>
          </cell>
        </row>
        <row r="14">
          <cell r="B14">
            <v>34</v>
          </cell>
        </row>
        <row r="15">
          <cell r="B15">
            <v>50</v>
          </cell>
        </row>
        <row r="16">
          <cell r="B16">
            <v>37</v>
          </cell>
        </row>
        <row r="17">
          <cell r="B17">
            <v>61</v>
          </cell>
        </row>
        <row r="18">
          <cell r="B18">
            <v>29</v>
          </cell>
        </row>
      </sheetData>
      <sheetData sheetId="73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74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75"/>
      <sheetData sheetId="76">
        <row r="11">
          <cell r="B11">
            <v>83</v>
          </cell>
        </row>
        <row r="12">
          <cell r="B12">
            <v>115</v>
          </cell>
        </row>
        <row r="13">
          <cell r="B13">
            <v>121</v>
          </cell>
        </row>
        <row r="14">
          <cell r="B14">
            <v>111</v>
          </cell>
        </row>
        <row r="15">
          <cell r="B15">
            <v>139</v>
          </cell>
        </row>
        <row r="16">
          <cell r="B16">
            <v>162</v>
          </cell>
        </row>
        <row r="17">
          <cell r="B17">
            <v>149</v>
          </cell>
        </row>
        <row r="18">
          <cell r="B18">
            <v>109</v>
          </cell>
        </row>
      </sheetData>
      <sheetData sheetId="77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78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79"/>
      <sheetData sheetId="80">
        <row r="11">
          <cell r="B11">
            <v>94</v>
          </cell>
        </row>
        <row r="12">
          <cell r="B12">
            <v>105</v>
          </cell>
        </row>
        <row r="13">
          <cell r="B13">
            <v>85</v>
          </cell>
        </row>
        <row r="14">
          <cell r="B14">
            <v>90</v>
          </cell>
        </row>
        <row r="15">
          <cell r="B15">
            <v>125</v>
          </cell>
        </row>
        <row r="16">
          <cell r="B16">
            <v>172</v>
          </cell>
        </row>
        <row r="17">
          <cell r="B17">
            <v>156</v>
          </cell>
        </row>
        <row r="18">
          <cell r="B18">
            <v>121</v>
          </cell>
        </row>
      </sheetData>
      <sheetData sheetId="81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82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83"/>
      <sheetData sheetId="84">
        <row r="11">
          <cell r="B11">
            <v>89</v>
          </cell>
        </row>
        <row r="12">
          <cell r="B12">
            <v>96</v>
          </cell>
        </row>
        <row r="13">
          <cell r="B13">
            <v>106</v>
          </cell>
        </row>
        <row r="14">
          <cell r="B14">
            <v>116</v>
          </cell>
        </row>
        <row r="15">
          <cell r="B15">
            <v>124</v>
          </cell>
        </row>
        <row r="16">
          <cell r="B16">
            <v>125</v>
          </cell>
        </row>
        <row r="17">
          <cell r="B17">
            <v>114</v>
          </cell>
        </row>
        <row r="18">
          <cell r="B18">
            <v>118</v>
          </cell>
        </row>
      </sheetData>
      <sheetData sheetId="85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86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87"/>
      <sheetData sheetId="88">
        <row r="11">
          <cell r="B11">
            <v>80</v>
          </cell>
        </row>
        <row r="12">
          <cell r="B12">
            <v>90</v>
          </cell>
        </row>
        <row r="13">
          <cell r="B13">
            <v>105</v>
          </cell>
        </row>
        <row r="14">
          <cell r="B14">
            <v>133</v>
          </cell>
        </row>
        <row r="15">
          <cell r="B15">
            <v>136</v>
          </cell>
        </row>
        <row r="16">
          <cell r="B16">
            <v>122</v>
          </cell>
        </row>
        <row r="17">
          <cell r="B17">
            <v>117</v>
          </cell>
        </row>
        <row r="18">
          <cell r="B18">
            <v>96</v>
          </cell>
        </row>
      </sheetData>
      <sheetData sheetId="89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90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91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92"/>
      <sheetData sheetId="93"/>
      <sheetData sheetId="94">
        <row r="11">
          <cell r="B11">
            <v>550</v>
          </cell>
        </row>
        <row r="12">
          <cell r="B12">
            <v>591</v>
          </cell>
        </row>
        <row r="13">
          <cell r="B13">
            <v>553</v>
          </cell>
        </row>
        <row r="14">
          <cell r="B14">
            <v>578</v>
          </cell>
        </row>
        <row r="15">
          <cell r="B15">
            <v>661</v>
          </cell>
        </row>
        <row r="16">
          <cell r="B16">
            <v>811</v>
          </cell>
        </row>
        <row r="17">
          <cell r="B17">
            <v>820</v>
          </cell>
        </row>
        <row r="18">
          <cell r="B18">
            <v>603</v>
          </cell>
        </row>
      </sheetData>
      <sheetData sheetId="95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96">
        <row r="11">
          <cell r="B11">
            <v>590</v>
          </cell>
        </row>
        <row r="12">
          <cell r="B12">
            <v>538</v>
          </cell>
        </row>
        <row r="13">
          <cell r="B13">
            <v>447</v>
          </cell>
        </row>
        <row r="14">
          <cell r="B14">
            <v>466</v>
          </cell>
        </row>
        <row r="15">
          <cell r="B15">
            <v>554</v>
          </cell>
        </row>
        <row r="16">
          <cell r="B16">
            <v>655</v>
          </cell>
        </row>
        <row r="17">
          <cell r="B17">
            <v>556</v>
          </cell>
        </row>
        <row r="18">
          <cell r="B18">
            <v>446</v>
          </cell>
        </row>
      </sheetData>
      <sheetData sheetId="97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98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99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00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01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02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03"/>
      <sheetData sheetId="104">
        <row r="11">
          <cell r="B11">
            <v>423</v>
          </cell>
        </row>
        <row r="12">
          <cell r="B12">
            <v>487</v>
          </cell>
        </row>
        <row r="13">
          <cell r="B13">
            <v>473</v>
          </cell>
        </row>
        <row r="14">
          <cell r="B14">
            <v>463</v>
          </cell>
        </row>
        <row r="15">
          <cell r="B15">
            <v>522</v>
          </cell>
        </row>
        <row r="16">
          <cell r="B16">
            <v>539</v>
          </cell>
        </row>
        <row r="17">
          <cell r="B17">
            <v>438</v>
          </cell>
        </row>
        <row r="18">
          <cell r="B18">
            <v>331</v>
          </cell>
        </row>
      </sheetData>
      <sheetData sheetId="105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06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07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08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09">
        <row r="11">
          <cell r="B11">
            <v>98</v>
          </cell>
        </row>
        <row r="12">
          <cell r="B12">
            <v>130</v>
          </cell>
        </row>
        <row r="13">
          <cell r="B13">
            <v>106</v>
          </cell>
        </row>
        <row r="14">
          <cell r="B14">
            <v>90</v>
          </cell>
        </row>
        <row r="15">
          <cell r="B15">
            <v>105</v>
          </cell>
        </row>
        <row r="16">
          <cell r="B16">
            <v>102</v>
          </cell>
        </row>
        <row r="17">
          <cell r="B17">
            <v>86</v>
          </cell>
        </row>
        <row r="18">
          <cell r="B18">
            <v>69</v>
          </cell>
        </row>
      </sheetData>
      <sheetData sheetId="110"/>
      <sheetData sheetId="111">
        <row r="11">
          <cell r="B11">
            <v>346</v>
          </cell>
        </row>
        <row r="12">
          <cell r="B12">
            <v>290</v>
          </cell>
        </row>
        <row r="13">
          <cell r="B13">
            <v>281</v>
          </cell>
        </row>
        <row r="14">
          <cell r="B14">
            <v>286</v>
          </cell>
        </row>
        <row r="15">
          <cell r="B15">
            <v>302</v>
          </cell>
        </row>
        <row r="16">
          <cell r="B16">
            <v>339</v>
          </cell>
        </row>
        <row r="17">
          <cell r="B17">
            <v>346</v>
          </cell>
        </row>
        <row r="18">
          <cell r="B18">
            <v>296</v>
          </cell>
        </row>
      </sheetData>
      <sheetData sheetId="112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13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14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15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16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17"/>
      <sheetData sheetId="118">
        <row r="11">
          <cell r="B11">
            <v>121</v>
          </cell>
        </row>
        <row r="12">
          <cell r="B12">
            <v>103</v>
          </cell>
        </row>
        <row r="13">
          <cell r="B13">
            <v>100</v>
          </cell>
        </row>
        <row r="14">
          <cell r="B14">
            <v>112</v>
          </cell>
        </row>
        <row r="15">
          <cell r="B15">
            <v>104</v>
          </cell>
        </row>
        <row r="16">
          <cell r="B16">
            <v>92</v>
          </cell>
        </row>
        <row r="17">
          <cell r="B17">
            <v>69</v>
          </cell>
        </row>
        <row r="18">
          <cell r="B18">
            <v>72</v>
          </cell>
        </row>
      </sheetData>
      <sheetData sheetId="119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20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  <sheetData sheetId="121"/>
      <sheetData sheetId="122">
        <row r="11">
          <cell r="B11">
            <v>247</v>
          </cell>
        </row>
        <row r="12">
          <cell r="B12">
            <v>289</v>
          </cell>
        </row>
        <row r="13">
          <cell r="B13">
            <v>312</v>
          </cell>
        </row>
        <row r="14">
          <cell r="B14">
            <v>345</v>
          </cell>
        </row>
        <row r="15">
          <cell r="B15">
            <v>363</v>
          </cell>
        </row>
        <row r="16">
          <cell r="B16">
            <v>392</v>
          </cell>
        </row>
        <row r="17">
          <cell r="B17">
            <v>338</v>
          </cell>
        </row>
        <row r="18">
          <cell r="B18">
            <v>281</v>
          </cell>
        </row>
      </sheetData>
      <sheetData sheetId="123"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Consolidado"/>
      <sheetName val="DIGUILLIN"/>
      <sheetName val="16101"/>
      <sheetName val="117101"/>
      <sheetName val="117301"/>
      <sheetName val="117701"/>
      <sheetName val="117302"/>
      <sheetName val="117702"/>
      <sheetName val="117799"/>
      <sheetName val="117405"/>
      <sheetName val="117303"/>
      <sheetName val="117410"/>
      <sheetName val="117304"/>
      <sheetName val="200261"/>
      <sheetName val="117322"/>
      <sheetName val="117324"/>
      <sheetName val="117330"/>
      <sheetName val="16102"/>
      <sheetName val="117103"/>
      <sheetName val="117326"/>
      <sheetName val="117426"/>
      <sheetName val="16103"/>
      <sheetName val="117328"/>
      <sheetName val="117413"/>
      <sheetName val="117414"/>
      <sheetName val="117331"/>
      <sheetName val="16104"/>
      <sheetName val="117107"/>
      <sheetName val="117435"/>
      <sheetName val="117436"/>
      <sheetName val="117437"/>
      <sheetName val="117438"/>
      <sheetName val="117457"/>
      <sheetName val="117473"/>
      <sheetName val="117474"/>
      <sheetName val="117475"/>
      <sheetName val="117476"/>
      <sheetName val="117477"/>
      <sheetName val="16105"/>
      <sheetName val="117310"/>
      <sheetName val="117430"/>
      <sheetName val="117431"/>
      <sheetName val="16106"/>
      <sheetName val="117317"/>
      <sheetName val="117409"/>
      <sheetName val="117469"/>
      <sheetName val="16107"/>
      <sheetName val="117306"/>
      <sheetName val="117706"/>
      <sheetName val="117448"/>
      <sheetName val="117449"/>
      <sheetName val="117472"/>
      <sheetName val="16108"/>
      <sheetName val="117308"/>
      <sheetName val="117454"/>
      <sheetName val="117319"/>
      <sheetName val="117455"/>
      <sheetName val="16109"/>
      <sheetName val="117104"/>
      <sheetName val="117315"/>
      <sheetName val="117458"/>
      <sheetName val="ITATA"/>
      <sheetName val="16201"/>
      <sheetName val="117106"/>
      <sheetName val="117434"/>
      <sheetName val="16202"/>
      <sheetName val="117307"/>
      <sheetName val="117451"/>
      <sheetName val="117452"/>
      <sheetName val="16203"/>
      <sheetName val="117108"/>
      <sheetName val="117439"/>
      <sheetName val="117442"/>
      <sheetName val="117445"/>
      <sheetName val="16204"/>
      <sheetName val="117314"/>
      <sheetName val="117433"/>
      <sheetName val="117463"/>
      <sheetName val="16205"/>
      <sheetName val="117305"/>
      <sheetName val="117447"/>
      <sheetName val="117459"/>
      <sheetName val="16206"/>
      <sheetName val="117316"/>
      <sheetName val="117427"/>
      <sheetName val="117465"/>
      <sheetName val="16207"/>
      <sheetName val="117327"/>
      <sheetName val="117443"/>
      <sheetName val="117444"/>
      <sheetName val="117446"/>
      <sheetName val="PUNILLA"/>
      <sheetName val="16301"/>
      <sheetName val="117102"/>
      <sheetName val="117329"/>
      <sheetName val="117729"/>
      <sheetName val="117311"/>
      <sheetName val="117415"/>
      <sheetName val="117416"/>
      <sheetName val="117421"/>
      <sheetName val="117423"/>
      <sheetName val="117461"/>
      <sheetName val="117462"/>
      <sheetName val="16302"/>
      <sheetName val="117318"/>
      <sheetName val="117401"/>
      <sheetName val="117403"/>
      <sheetName val="117406"/>
      <sheetName val="117407"/>
      <sheetName val="117325"/>
      <sheetName val="16303"/>
      <sheetName val="117313"/>
      <sheetName val="117418"/>
      <sheetName val="117419"/>
      <sheetName val="117422"/>
      <sheetName val="117464"/>
      <sheetName val="117468"/>
      <sheetName val="16304"/>
      <sheetName val="117309"/>
      <sheetName val="117467"/>
      <sheetName val="117470"/>
      <sheetName val="16305"/>
      <sheetName val="117312"/>
      <sheetName val="11747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48">
          <cell r="S48">
            <v>34</v>
          </cell>
          <cell r="T48">
            <v>36</v>
          </cell>
        </row>
      </sheetData>
      <sheetData sheetId="8">
        <row r="48">
          <cell r="S48">
            <v>4</v>
          </cell>
          <cell r="T48">
            <v>5</v>
          </cell>
        </row>
      </sheetData>
      <sheetData sheetId="9">
        <row r="48">
          <cell r="S48">
            <v>3</v>
          </cell>
          <cell r="T48">
            <v>4</v>
          </cell>
        </row>
      </sheetData>
      <sheetData sheetId="10">
        <row r="48">
          <cell r="S48">
            <v>5</v>
          </cell>
          <cell r="T48">
            <v>7</v>
          </cell>
        </row>
      </sheetData>
      <sheetData sheetId="11">
        <row r="48">
          <cell r="S48">
            <v>24</v>
          </cell>
          <cell r="T48">
            <v>17</v>
          </cell>
        </row>
      </sheetData>
      <sheetData sheetId="12">
        <row r="48">
          <cell r="S48">
            <v>0</v>
          </cell>
          <cell r="T48">
            <v>0</v>
          </cell>
        </row>
      </sheetData>
      <sheetData sheetId="13">
        <row r="48">
          <cell r="S48">
            <v>31</v>
          </cell>
          <cell r="T48">
            <v>31</v>
          </cell>
        </row>
      </sheetData>
      <sheetData sheetId="14">
        <row r="48">
          <cell r="S48">
            <v>1</v>
          </cell>
          <cell r="T48">
            <v>2</v>
          </cell>
        </row>
      </sheetData>
      <sheetData sheetId="15">
        <row r="48">
          <cell r="S48">
            <v>5</v>
          </cell>
          <cell r="T48">
            <v>3</v>
          </cell>
        </row>
      </sheetData>
      <sheetData sheetId="16">
        <row r="48">
          <cell r="S48">
            <v>20</v>
          </cell>
          <cell r="T48">
            <v>21</v>
          </cell>
        </row>
      </sheetData>
      <sheetData sheetId="17">
        <row r="48">
          <cell r="S48">
            <v>25</v>
          </cell>
          <cell r="T48">
            <v>14</v>
          </cell>
        </row>
      </sheetData>
      <sheetData sheetId="18"/>
      <sheetData sheetId="19"/>
      <sheetData sheetId="20">
        <row r="48">
          <cell r="S48">
            <v>4</v>
          </cell>
          <cell r="T48">
            <v>2</v>
          </cell>
        </row>
      </sheetData>
      <sheetData sheetId="21">
        <row r="48">
          <cell r="S48">
            <v>8</v>
          </cell>
          <cell r="T48">
            <v>6</v>
          </cell>
        </row>
      </sheetData>
      <sheetData sheetId="22"/>
      <sheetData sheetId="23">
        <row r="48">
          <cell r="S48">
            <v>7</v>
          </cell>
          <cell r="T48">
            <v>7</v>
          </cell>
        </row>
      </sheetData>
      <sheetData sheetId="24">
        <row r="48">
          <cell r="S48">
            <v>2</v>
          </cell>
          <cell r="T48">
            <v>0</v>
          </cell>
        </row>
      </sheetData>
      <sheetData sheetId="25">
        <row r="48">
          <cell r="S48">
            <v>0</v>
          </cell>
          <cell r="T48">
            <v>0</v>
          </cell>
        </row>
      </sheetData>
      <sheetData sheetId="26">
        <row r="48">
          <cell r="S48">
            <v>11</v>
          </cell>
          <cell r="T48">
            <v>17</v>
          </cell>
        </row>
      </sheetData>
      <sheetData sheetId="27"/>
      <sheetData sheetId="28"/>
      <sheetData sheetId="29">
        <row r="48">
          <cell r="S48">
            <v>24</v>
          </cell>
          <cell r="T48">
            <v>14</v>
          </cell>
        </row>
      </sheetData>
      <sheetData sheetId="30">
        <row r="48">
          <cell r="S48">
            <v>0</v>
          </cell>
          <cell r="T48">
            <v>0</v>
          </cell>
        </row>
      </sheetData>
      <sheetData sheetId="31">
        <row r="48">
          <cell r="S48">
            <v>0</v>
          </cell>
          <cell r="T48">
            <v>0</v>
          </cell>
        </row>
      </sheetData>
      <sheetData sheetId="32">
        <row r="48">
          <cell r="S48">
            <v>0</v>
          </cell>
          <cell r="T48">
            <v>0</v>
          </cell>
        </row>
      </sheetData>
      <sheetData sheetId="33">
        <row r="48">
          <cell r="S48">
            <v>0</v>
          </cell>
          <cell r="T48">
            <v>0</v>
          </cell>
        </row>
      </sheetData>
      <sheetData sheetId="34">
        <row r="48">
          <cell r="S48">
            <v>0</v>
          </cell>
          <cell r="T48">
            <v>0</v>
          </cell>
        </row>
      </sheetData>
      <sheetData sheetId="35">
        <row r="48">
          <cell r="S48">
            <v>0</v>
          </cell>
          <cell r="T48">
            <v>0</v>
          </cell>
        </row>
      </sheetData>
      <sheetData sheetId="36">
        <row r="48">
          <cell r="S48">
            <v>0</v>
          </cell>
          <cell r="T48">
            <v>0</v>
          </cell>
        </row>
      </sheetData>
      <sheetData sheetId="37">
        <row r="48">
          <cell r="S48">
            <v>0</v>
          </cell>
          <cell r="T48">
            <v>0</v>
          </cell>
        </row>
      </sheetData>
      <sheetData sheetId="38">
        <row r="48">
          <cell r="S48">
            <v>0</v>
          </cell>
          <cell r="T48">
            <v>0</v>
          </cell>
        </row>
      </sheetData>
      <sheetData sheetId="39"/>
      <sheetData sheetId="40">
        <row r="48">
          <cell r="S48">
            <v>7</v>
          </cell>
          <cell r="T48">
            <v>8</v>
          </cell>
        </row>
      </sheetData>
      <sheetData sheetId="41">
        <row r="48">
          <cell r="S48">
            <v>0</v>
          </cell>
          <cell r="T48">
            <v>0</v>
          </cell>
        </row>
      </sheetData>
      <sheetData sheetId="42">
        <row r="48">
          <cell r="S48">
            <v>0</v>
          </cell>
          <cell r="T48">
            <v>0</v>
          </cell>
        </row>
      </sheetData>
      <sheetData sheetId="43"/>
      <sheetData sheetId="44">
        <row r="48">
          <cell r="S48">
            <v>25</v>
          </cell>
          <cell r="T48">
            <v>14</v>
          </cell>
        </row>
      </sheetData>
      <sheetData sheetId="45">
        <row r="48">
          <cell r="S48">
            <v>3</v>
          </cell>
          <cell r="T48">
            <v>5</v>
          </cell>
        </row>
      </sheetData>
      <sheetData sheetId="46">
        <row r="48">
          <cell r="S48">
            <v>0</v>
          </cell>
          <cell r="T48">
            <v>0</v>
          </cell>
        </row>
      </sheetData>
      <sheetData sheetId="47"/>
      <sheetData sheetId="48">
        <row r="48">
          <cell r="S48">
            <v>18</v>
          </cell>
          <cell r="T48">
            <v>17</v>
          </cell>
        </row>
      </sheetData>
      <sheetData sheetId="49">
        <row r="48">
          <cell r="S48">
            <v>0</v>
          </cell>
          <cell r="T48">
            <v>2</v>
          </cell>
        </row>
      </sheetData>
      <sheetData sheetId="50">
        <row r="48">
          <cell r="S48">
            <v>0</v>
          </cell>
          <cell r="T48">
            <v>0</v>
          </cell>
        </row>
      </sheetData>
      <sheetData sheetId="51">
        <row r="48">
          <cell r="S48">
            <v>4</v>
          </cell>
          <cell r="T48">
            <v>1</v>
          </cell>
        </row>
      </sheetData>
      <sheetData sheetId="52">
        <row r="48">
          <cell r="S48">
            <v>0</v>
          </cell>
          <cell r="T48">
            <v>0</v>
          </cell>
        </row>
      </sheetData>
      <sheetData sheetId="53"/>
      <sheetData sheetId="54">
        <row r="48">
          <cell r="S48">
            <v>10</v>
          </cell>
          <cell r="T48">
            <v>12</v>
          </cell>
        </row>
      </sheetData>
      <sheetData sheetId="55">
        <row r="48">
          <cell r="S48">
            <v>0</v>
          </cell>
          <cell r="T48">
            <v>0</v>
          </cell>
        </row>
      </sheetData>
      <sheetData sheetId="56">
        <row r="48">
          <cell r="S48">
            <v>3</v>
          </cell>
          <cell r="T48">
            <v>8</v>
          </cell>
        </row>
      </sheetData>
      <sheetData sheetId="57">
        <row r="48">
          <cell r="S48">
            <v>4</v>
          </cell>
          <cell r="T48">
            <v>3</v>
          </cell>
        </row>
      </sheetData>
      <sheetData sheetId="58"/>
      <sheetData sheetId="59"/>
      <sheetData sheetId="60">
        <row r="48">
          <cell r="S48">
            <v>1</v>
          </cell>
          <cell r="T48">
            <v>4</v>
          </cell>
        </row>
      </sheetData>
      <sheetData sheetId="61">
        <row r="48">
          <cell r="S48">
            <v>0</v>
          </cell>
          <cell r="T48">
            <v>0</v>
          </cell>
        </row>
      </sheetData>
      <sheetData sheetId="62"/>
      <sheetData sheetId="63"/>
      <sheetData sheetId="64"/>
      <sheetData sheetId="65"/>
      <sheetData sheetId="66"/>
      <sheetData sheetId="67">
        <row r="48">
          <cell r="S48">
            <v>6</v>
          </cell>
          <cell r="T48">
            <v>2</v>
          </cell>
        </row>
      </sheetData>
      <sheetData sheetId="68">
        <row r="48">
          <cell r="S48">
            <v>0</v>
          </cell>
          <cell r="T48">
            <v>0</v>
          </cell>
        </row>
      </sheetData>
      <sheetData sheetId="69">
        <row r="48">
          <cell r="S48">
            <v>0</v>
          </cell>
          <cell r="T48">
            <v>0</v>
          </cell>
        </row>
      </sheetData>
      <sheetData sheetId="70"/>
      <sheetData sheetId="71"/>
      <sheetData sheetId="72">
        <row r="48">
          <cell r="S48">
            <v>1</v>
          </cell>
          <cell r="T48">
            <v>1</v>
          </cell>
        </row>
      </sheetData>
      <sheetData sheetId="73">
        <row r="48">
          <cell r="S48">
            <v>2</v>
          </cell>
          <cell r="T48">
            <v>3</v>
          </cell>
        </row>
      </sheetData>
      <sheetData sheetId="74">
        <row r="48">
          <cell r="S48">
            <v>0</v>
          </cell>
          <cell r="T48">
            <v>0</v>
          </cell>
        </row>
      </sheetData>
      <sheetData sheetId="75"/>
      <sheetData sheetId="76">
        <row r="48">
          <cell r="S48">
            <v>13</v>
          </cell>
          <cell r="T48">
            <v>5</v>
          </cell>
        </row>
      </sheetData>
      <sheetData sheetId="77">
        <row r="48">
          <cell r="S48">
            <v>0</v>
          </cell>
          <cell r="T48">
            <v>0</v>
          </cell>
        </row>
      </sheetData>
      <sheetData sheetId="78">
        <row r="48">
          <cell r="S48">
            <v>1</v>
          </cell>
          <cell r="T48">
            <v>0</v>
          </cell>
        </row>
      </sheetData>
      <sheetData sheetId="79"/>
      <sheetData sheetId="80">
        <row r="48">
          <cell r="S48">
            <v>5</v>
          </cell>
          <cell r="T48">
            <v>6</v>
          </cell>
        </row>
      </sheetData>
      <sheetData sheetId="81">
        <row r="48">
          <cell r="S48">
            <v>0</v>
          </cell>
          <cell r="T48">
            <v>0</v>
          </cell>
        </row>
      </sheetData>
      <sheetData sheetId="82">
        <row r="48">
          <cell r="S48">
            <v>0</v>
          </cell>
          <cell r="T48">
            <v>0</v>
          </cell>
        </row>
      </sheetData>
      <sheetData sheetId="83"/>
      <sheetData sheetId="84">
        <row r="48">
          <cell r="S48">
            <v>5</v>
          </cell>
          <cell r="T48">
            <v>7</v>
          </cell>
        </row>
      </sheetData>
      <sheetData sheetId="85">
        <row r="48">
          <cell r="S48">
            <v>3</v>
          </cell>
          <cell r="T48">
            <v>0</v>
          </cell>
        </row>
      </sheetData>
      <sheetData sheetId="86">
        <row r="48">
          <cell r="S48">
            <v>1</v>
          </cell>
          <cell r="T48">
            <v>1</v>
          </cell>
        </row>
      </sheetData>
      <sheetData sheetId="87"/>
      <sheetData sheetId="88">
        <row r="48">
          <cell r="S48">
            <v>4</v>
          </cell>
          <cell r="T48">
            <v>9</v>
          </cell>
        </row>
      </sheetData>
      <sheetData sheetId="89">
        <row r="48">
          <cell r="S48">
            <v>0</v>
          </cell>
          <cell r="T48">
            <v>0</v>
          </cell>
        </row>
      </sheetData>
      <sheetData sheetId="90">
        <row r="48">
          <cell r="S48">
            <v>0</v>
          </cell>
          <cell r="T48">
            <v>0</v>
          </cell>
        </row>
      </sheetData>
      <sheetData sheetId="91">
        <row r="48">
          <cell r="S48">
            <v>3</v>
          </cell>
          <cell r="T48">
            <v>3</v>
          </cell>
        </row>
      </sheetData>
      <sheetData sheetId="92"/>
      <sheetData sheetId="93"/>
      <sheetData sheetId="94"/>
      <sheetData sheetId="95">
        <row r="48">
          <cell r="S48">
            <v>15</v>
          </cell>
          <cell r="T48">
            <v>24</v>
          </cell>
        </row>
      </sheetData>
      <sheetData sheetId="96">
        <row r="48">
          <cell r="S48">
            <v>3</v>
          </cell>
          <cell r="T48">
            <v>3</v>
          </cell>
        </row>
      </sheetData>
      <sheetData sheetId="97">
        <row r="48">
          <cell r="S48">
            <v>12</v>
          </cell>
          <cell r="T48">
            <v>8</v>
          </cell>
        </row>
      </sheetData>
      <sheetData sheetId="98">
        <row r="48">
          <cell r="S48">
            <v>4</v>
          </cell>
          <cell r="T48">
            <v>5</v>
          </cell>
        </row>
      </sheetData>
      <sheetData sheetId="99">
        <row r="48">
          <cell r="S48">
            <v>0</v>
          </cell>
          <cell r="T48">
            <v>0</v>
          </cell>
        </row>
      </sheetData>
      <sheetData sheetId="100">
        <row r="48">
          <cell r="S48">
            <v>0</v>
          </cell>
          <cell r="T48">
            <v>0</v>
          </cell>
        </row>
      </sheetData>
      <sheetData sheetId="101">
        <row r="48">
          <cell r="S48">
            <v>0</v>
          </cell>
          <cell r="T48">
            <v>0</v>
          </cell>
        </row>
      </sheetData>
      <sheetData sheetId="102">
        <row r="48">
          <cell r="S48">
            <v>0</v>
          </cell>
          <cell r="T48">
            <v>0</v>
          </cell>
        </row>
      </sheetData>
      <sheetData sheetId="103">
        <row r="48">
          <cell r="S48">
            <v>0</v>
          </cell>
          <cell r="T48">
            <v>0</v>
          </cell>
        </row>
      </sheetData>
      <sheetData sheetId="104"/>
      <sheetData sheetId="105">
        <row r="48">
          <cell r="S48">
            <v>17</v>
          </cell>
          <cell r="T48">
            <v>11</v>
          </cell>
        </row>
      </sheetData>
      <sheetData sheetId="106">
        <row r="48">
          <cell r="S48">
            <v>2</v>
          </cell>
          <cell r="T48">
            <v>5</v>
          </cell>
        </row>
      </sheetData>
      <sheetData sheetId="107">
        <row r="48">
          <cell r="S48">
            <v>1</v>
          </cell>
          <cell r="T48">
            <v>4</v>
          </cell>
        </row>
      </sheetData>
      <sheetData sheetId="108">
        <row r="48">
          <cell r="S48">
            <v>2</v>
          </cell>
          <cell r="T48">
            <v>2</v>
          </cell>
        </row>
      </sheetData>
      <sheetData sheetId="109">
        <row r="48">
          <cell r="S48">
            <v>0</v>
          </cell>
          <cell r="T48">
            <v>2</v>
          </cell>
        </row>
      </sheetData>
      <sheetData sheetId="110">
        <row r="48">
          <cell r="S48">
            <v>2</v>
          </cell>
          <cell r="T48">
            <v>3</v>
          </cell>
        </row>
      </sheetData>
      <sheetData sheetId="111"/>
      <sheetData sheetId="112">
        <row r="48">
          <cell r="S48">
            <v>4</v>
          </cell>
          <cell r="T48">
            <v>13</v>
          </cell>
        </row>
      </sheetData>
      <sheetData sheetId="113">
        <row r="48">
          <cell r="S48">
            <v>1</v>
          </cell>
          <cell r="T48">
            <v>3</v>
          </cell>
        </row>
      </sheetData>
      <sheetData sheetId="114">
        <row r="48">
          <cell r="S48">
            <v>0</v>
          </cell>
          <cell r="T48">
            <v>0</v>
          </cell>
        </row>
      </sheetData>
      <sheetData sheetId="115">
        <row r="48">
          <cell r="S48">
            <v>0</v>
          </cell>
          <cell r="T48">
            <v>0</v>
          </cell>
        </row>
      </sheetData>
      <sheetData sheetId="116">
        <row r="48">
          <cell r="S48">
            <v>0</v>
          </cell>
          <cell r="T48">
            <v>0</v>
          </cell>
        </row>
      </sheetData>
      <sheetData sheetId="117">
        <row r="48">
          <cell r="S48">
            <v>0</v>
          </cell>
          <cell r="T48">
            <v>0</v>
          </cell>
        </row>
      </sheetData>
      <sheetData sheetId="118"/>
      <sheetData sheetId="119">
        <row r="48">
          <cell r="S48">
            <v>1</v>
          </cell>
          <cell r="T48">
            <v>10</v>
          </cell>
        </row>
      </sheetData>
      <sheetData sheetId="120">
        <row r="48">
          <cell r="S48">
            <v>0</v>
          </cell>
          <cell r="T48">
            <v>0</v>
          </cell>
        </row>
      </sheetData>
      <sheetData sheetId="121">
        <row r="48">
          <cell r="S48">
            <v>0</v>
          </cell>
          <cell r="T48">
            <v>0</v>
          </cell>
        </row>
      </sheetData>
      <sheetData sheetId="122"/>
      <sheetData sheetId="123">
        <row r="48">
          <cell r="S48">
            <v>11</v>
          </cell>
          <cell r="T48">
            <v>8</v>
          </cell>
        </row>
      </sheetData>
      <sheetData sheetId="124">
        <row r="48">
          <cell r="S48">
            <v>6</v>
          </cell>
          <cell r="T48">
            <v>9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Consolidado"/>
      <sheetName val="DIGUILLIN"/>
      <sheetName val="16101"/>
      <sheetName val="117101"/>
      <sheetName val="117301"/>
      <sheetName val="117701"/>
      <sheetName val="117302"/>
      <sheetName val="117702"/>
      <sheetName val="117799"/>
      <sheetName val="117405"/>
      <sheetName val="117303"/>
      <sheetName val="117410"/>
      <sheetName val="117304"/>
      <sheetName val="200261"/>
      <sheetName val="117322"/>
      <sheetName val="117324"/>
      <sheetName val="117330"/>
      <sheetName val="16102"/>
      <sheetName val="117103"/>
      <sheetName val="117326"/>
      <sheetName val="117426"/>
      <sheetName val="16103"/>
      <sheetName val="117328"/>
      <sheetName val="117413"/>
      <sheetName val="117414"/>
      <sheetName val="117331"/>
      <sheetName val="16104"/>
      <sheetName val="117107"/>
      <sheetName val="117435"/>
      <sheetName val="117436"/>
      <sheetName val="117437"/>
      <sheetName val="117438"/>
      <sheetName val="117457"/>
      <sheetName val="117473"/>
      <sheetName val="117474"/>
      <sheetName val="117475"/>
      <sheetName val="117476"/>
      <sheetName val="117477"/>
      <sheetName val="16105"/>
      <sheetName val="117310"/>
      <sheetName val="117430"/>
      <sheetName val="117431"/>
      <sheetName val="16106"/>
      <sheetName val="117317"/>
      <sheetName val="117409"/>
      <sheetName val="117469"/>
      <sheetName val="16107"/>
      <sheetName val="117306"/>
      <sheetName val="117706"/>
      <sheetName val="117448"/>
      <sheetName val="117449"/>
      <sheetName val="117472"/>
      <sheetName val="16108"/>
      <sheetName val="117308"/>
      <sheetName val="117454"/>
      <sheetName val="117319"/>
      <sheetName val="117455"/>
      <sheetName val="16109"/>
      <sheetName val="117104"/>
      <sheetName val="117315"/>
      <sheetName val="117458"/>
      <sheetName val="ITATA"/>
      <sheetName val="16201"/>
      <sheetName val="117106"/>
      <sheetName val="117434"/>
      <sheetName val="16202"/>
      <sheetName val="117307"/>
      <sheetName val="117451"/>
      <sheetName val="117452"/>
      <sheetName val="16203"/>
      <sheetName val="117108"/>
      <sheetName val="117439"/>
      <sheetName val="117442"/>
      <sheetName val="117445"/>
      <sheetName val="16204"/>
      <sheetName val="117314"/>
      <sheetName val="117433"/>
      <sheetName val="117463"/>
      <sheetName val="16205"/>
      <sheetName val="117305"/>
      <sheetName val="117447"/>
      <sheetName val="117459"/>
      <sheetName val="16206"/>
      <sheetName val="117316"/>
      <sheetName val="117427"/>
      <sheetName val="117465"/>
      <sheetName val="16207"/>
      <sheetName val="117327"/>
      <sheetName val="117443"/>
      <sheetName val="117444"/>
      <sheetName val="117446"/>
      <sheetName val="PUNILLA"/>
      <sheetName val="16301"/>
      <sheetName val="117102"/>
      <sheetName val="117329"/>
      <sheetName val="117729"/>
      <sheetName val="117311"/>
      <sheetName val="117415"/>
      <sheetName val="117416"/>
      <sheetName val="117421"/>
      <sheetName val="117423"/>
      <sheetName val="117461"/>
      <sheetName val="117462"/>
      <sheetName val="16302"/>
      <sheetName val="117318"/>
      <sheetName val="117401"/>
      <sheetName val="117403"/>
      <sheetName val="117406"/>
      <sheetName val="117407"/>
      <sheetName val="117325"/>
      <sheetName val="16303"/>
      <sheetName val="117313"/>
      <sheetName val="117418"/>
      <sheetName val="117419"/>
      <sheetName val="117422"/>
      <sheetName val="117464"/>
      <sheetName val="117468"/>
      <sheetName val="16304"/>
      <sheetName val="117309"/>
      <sheetName val="117467"/>
      <sheetName val="117470"/>
      <sheetName val="16305"/>
      <sheetName val="117312"/>
      <sheetName val="11747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7">
          <cell r="C17">
            <v>1933</v>
          </cell>
        </row>
        <row r="34">
          <cell r="C34">
            <v>1741</v>
          </cell>
        </row>
        <row r="35">
          <cell r="C35">
            <v>346</v>
          </cell>
        </row>
        <row r="36">
          <cell r="C36">
            <v>730</v>
          </cell>
        </row>
        <row r="37">
          <cell r="C37">
            <v>145</v>
          </cell>
        </row>
        <row r="60">
          <cell r="C60">
            <v>1076</v>
          </cell>
        </row>
        <row r="61">
          <cell r="C61">
            <v>95</v>
          </cell>
        </row>
        <row r="62">
          <cell r="C62">
            <v>243</v>
          </cell>
        </row>
        <row r="63">
          <cell r="C63">
            <v>89</v>
          </cell>
        </row>
      </sheetData>
      <sheetData sheetId="8">
        <row r="17">
          <cell r="C17">
            <v>217</v>
          </cell>
        </row>
        <row r="34">
          <cell r="C34">
            <v>211</v>
          </cell>
        </row>
        <row r="35">
          <cell r="C35">
            <v>55</v>
          </cell>
        </row>
        <row r="36">
          <cell r="C36">
            <v>68</v>
          </cell>
        </row>
        <row r="37">
          <cell r="C37">
            <v>27</v>
          </cell>
        </row>
        <row r="60">
          <cell r="C60">
            <v>114</v>
          </cell>
        </row>
        <row r="61">
          <cell r="C61">
            <v>21</v>
          </cell>
        </row>
        <row r="62">
          <cell r="C62">
            <v>14</v>
          </cell>
        </row>
        <row r="63">
          <cell r="C63">
            <v>2</v>
          </cell>
        </row>
      </sheetData>
      <sheetData sheetId="9">
        <row r="17">
          <cell r="C17">
            <v>219</v>
          </cell>
        </row>
        <row r="34">
          <cell r="C34">
            <v>218</v>
          </cell>
        </row>
        <row r="35">
          <cell r="C35">
            <v>23</v>
          </cell>
        </row>
        <row r="36">
          <cell r="C36">
            <v>83</v>
          </cell>
        </row>
        <row r="37">
          <cell r="C37">
            <v>6</v>
          </cell>
        </row>
        <row r="60">
          <cell r="C60">
            <v>122</v>
          </cell>
        </row>
        <row r="61">
          <cell r="C61">
            <v>16</v>
          </cell>
        </row>
        <row r="62">
          <cell r="C62">
            <v>17</v>
          </cell>
        </row>
        <row r="63">
          <cell r="C63">
            <v>8</v>
          </cell>
        </row>
      </sheetData>
      <sheetData sheetId="10">
        <row r="17">
          <cell r="C17">
            <v>230</v>
          </cell>
        </row>
        <row r="34">
          <cell r="C34">
            <v>190</v>
          </cell>
        </row>
        <row r="35">
          <cell r="C35">
            <v>39</v>
          </cell>
        </row>
        <row r="36">
          <cell r="C36">
            <v>49</v>
          </cell>
        </row>
        <row r="37">
          <cell r="C37">
            <v>6</v>
          </cell>
        </row>
        <row r="60">
          <cell r="C60">
            <v>85</v>
          </cell>
        </row>
        <row r="61">
          <cell r="C61">
            <v>5</v>
          </cell>
        </row>
        <row r="62">
          <cell r="C62">
            <v>98</v>
          </cell>
        </row>
        <row r="63">
          <cell r="C63">
            <v>21</v>
          </cell>
        </row>
      </sheetData>
      <sheetData sheetId="11">
        <row r="17">
          <cell r="C17">
            <v>1334</v>
          </cell>
        </row>
        <row r="34">
          <cell r="C34">
            <v>1120</v>
          </cell>
        </row>
        <row r="35">
          <cell r="C35">
            <v>185</v>
          </cell>
        </row>
        <row r="36">
          <cell r="C36">
            <v>439</v>
          </cell>
        </row>
        <row r="37">
          <cell r="C37">
            <v>147</v>
          </cell>
        </row>
        <row r="60">
          <cell r="C60">
            <v>516</v>
          </cell>
        </row>
        <row r="61">
          <cell r="C61">
            <v>26</v>
          </cell>
        </row>
        <row r="62">
          <cell r="C62">
            <v>60</v>
          </cell>
        </row>
        <row r="63">
          <cell r="C63">
            <v>59</v>
          </cell>
        </row>
      </sheetData>
      <sheetData sheetId="12">
        <row r="17">
          <cell r="C17">
            <v>51</v>
          </cell>
        </row>
        <row r="34">
          <cell r="C34">
            <v>50</v>
          </cell>
        </row>
        <row r="35">
          <cell r="C35">
            <v>12</v>
          </cell>
        </row>
        <row r="36">
          <cell r="C36">
            <v>15</v>
          </cell>
        </row>
        <row r="37">
          <cell r="C37">
            <v>3</v>
          </cell>
        </row>
        <row r="60">
          <cell r="C60">
            <v>20</v>
          </cell>
        </row>
        <row r="61">
          <cell r="C61">
            <v>1</v>
          </cell>
        </row>
        <row r="62">
          <cell r="C62">
            <v>12</v>
          </cell>
        </row>
        <row r="63">
          <cell r="C63">
            <v>5</v>
          </cell>
        </row>
      </sheetData>
      <sheetData sheetId="13">
        <row r="17">
          <cell r="C17">
            <v>1572</v>
          </cell>
        </row>
        <row r="34">
          <cell r="C34">
            <v>1559</v>
          </cell>
        </row>
        <row r="35">
          <cell r="C35">
            <v>533</v>
          </cell>
        </row>
        <row r="36">
          <cell r="C36">
            <v>458</v>
          </cell>
        </row>
        <row r="37">
          <cell r="C37">
            <v>166</v>
          </cell>
        </row>
        <row r="60">
          <cell r="C60">
            <v>364</v>
          </cell>
        </row>
        <row r="61">
          <cell r="C61">
            <v>19</v>
          </cell>
        </row>
        <row r="62">
          <cell r="C62">
            <v>155</v>
          </cell>
        </row>
        <row r="63">
          <cell r="C63">
            <v>34</v>
          </cell>
        </row>
      </sheetData>
      <sheetData sheetId="14">
        <row r="17">
          <cell r="C17">
            <v>324</v>
          </cell>
        </row>
        <row r="34">
          <cell r="C34">
            <v>326</v>
          </cell>
        </row>
        <row r="35">
          <cell r="C35">
            <v>42</v>
          </cell>
        </row>
        <row r="36">
          <cell r="C36">
            <v>100</v>
          </cell>
        </row>
        <row r="37">
          <cell r="C37">
            <v>16</v>
          </cell>
        </row>
        <row r="60">
          <cell r="C60">
            <v>0</v>
          </cell>
        </row>
        <row r="61">
          <cell r="C61">
            <v>0</v>
          </cell>
        </row>
        <row r="62">
          <cell r="C62">
            <v>0</v>
          </cell>
        </row>
        <row r="63">
          <cell r="C63">
            <v>0</v>
          </cell>
        </row>
      </sheetData>
      <sheetData sheetId="15">
        <row r="17">
          <cell r="C17">
            <v>408</v>
          </cell>
        </row>
        <row r="34">
          <cell r="C34">
            <v>329</v>
          </cell>
        </row>
        <row r="35">
          <cell r="C35">
            <v>79</v>
          </cell>
        </row>
        <row r="36">
          <cell r="C36">
            <v>101</v>
          </cell>
        </row>
        <row r="37">
          <cell r="C37">
            <v>27</v>
          </cell>
        </row>
        <row r="60">
          <cell r="C60">
            <v>284</v>
          </cell>
        </row>
        <row r="61">
          <cell r="C61">
            <v>17</v>
          </cell>
        </row>
        <row r="62">
          <cell r="C62">
            <v>25</v>
          </cell>
        </row>
        <row r="63">
          <cell r="C63">
            <v>8</v>
          </cell>
        </row>
      </sheetData>
      <sheetData sheetId="16">
        <row r="17">
          <cell r="C17">
            <v>1587</v>
          </cell>
        </row>
        <row r="34">
          <cell r="C34">
            <v>2055</v>
          </cell>
        </row>
        <row r="35">
          <cell r="C35">
            <v>228</v>
          </cell>
        </row>
        <row r="36">
          <cell r="C36">
            <v>577</v>
          </cell>
        </row>
        <row r="37">
          <cell r="C37">
            <v>71</v>
          </cell>
        </row>
        <row r="60">
          <cell r="C60">
            <v>897</v>
          </cell>
        </row>
        <row r="61">
          <cell r="C61">
            <v>92</v>
          </cell>
        </row>
        <row r="62">
          <cell r="C62">
            <v>189</v>
          </cell>
        </row>
        <row r="63">
          <cell r="C63">
            <v>30</v>
          </cell>
        </row>
      </sheetData>
      <sheetData sheetId="17">
        <row r="17">
          <cell r="C17">
            <v>903</v>
          </cell>
        </row>
        <row r="34">
          <cell r="C34">
            <v>799</v>
          </cell>
        </row>
        <row r="35">
          <cell r="C35">
            <v>94</v>
          </cell>
        </row>
        <row r="36">
          <cell r="C36">
            <v>242</v>
          </cell>
        </row>
        <row r="37">
          <cell r="C37">
            <v>34</v>
          </cell>
        </row>
        <row r="60">
          <cell r="C60">
            <v>537</v>
          </cell>
        </row>
        <row r="61">
          <cell r="C61">
            <v>41</v>
          </cell>
        </row>
        <row r="62">
          <cell r="C62">
            <v>139</v>
          </cell>
        </row>
        <row r="63">
          <cell r="C63">
            <v>31</v>
          </cell>
        </row>
      </sheetData>
      <sheetData sheetId="18"/>
      <sheetData sheetId="19"/>
      <sheetData sheetId="20">
        <row r="17">
          <cell r="C17">
            <v>538</v>
          </cell>
        </row>
        <row r="34">
          <cell r="C34">
            <v>726</v>
          </cell>
        </row>
        <row r="35">
          <cell r="C35">
            <v>120</v>
          </cell>
        </row>
        <row r="36">
          <cell r="C36">
            <v>150</v>
          </cell>
        </row>
        <row r="37">
          <cell r="C37">
            <v>20</v>
          </cell>
        </row>
        <row r="60">
          <cell r="C60">
            <v>369</v>
          </cell>
        </row>
        <row r="61">
          <cell r="C61">
            <v>28</v>
          </cell>
        </row>
        <row r="62">
          <cell r="C62">
            <v>49</v>
          </cell>
        </row>
        <row r="63">
          <cell r="C63">
            <v>38</v>
          </cell>
        </row>
      </sheetData>
      <sheetData sheetId="21">
        <row r="17">
          <cell r="C17">
            <v>300</v>
          </cell>
        </row>
        <row r="34">
          <cell r="C34">
            <v>170</v>
          </cell>
        </row>
        <row r="35">
          <cell r="C35">
            <v>30</v>
          </cell>
        </row>
        <row r="36">
          <cell r="C36">
            <v>85</v>
          </cell>
        </row>
        <row r="37">
          <cell r="C37">
            <v>14</v>
          </cell>
        </row>
        <row r="60">
          <cell r="C60">
            <v>240</v>
          </cell>
        </row>
        <row r="61">
          <cell r="C61">
            <v>17</v>
          </cell>
        </row>
        <row r="62">
          <cell r="C62">
            <v>15</v>
          </cell>
        </row>
        <row r="63">
          <cell r="C63">
            <v>11</v>
          </cell>
        </row>
      </sheetData>
      <sheetData sheetId="22"/>
      <sheetData sheetId="23">
        <row r="17">
          <cell r="C17">
            <v>1311</v>
          </cell>
        </row>
        <row r="34">
          <cell r="C34">
            <v>1043</v>
          </cell>
        </row>
        <row r="35">
          <cell r="C35">
            <v>207</v>
          </cell>
        </row>
        <row r="36">
          <cell r="C36">
            <v>447</v>
          </cell>
        </row>
        <row r="37">
          <cell r="C37">
            <v>92</v>
          </cell>
        </row>
        <row r="60">
          <cell r="C60">
            <v>828</v>
          </cell>
        </row>
        <row r="61">
          <cell r="C61">
            <v>89</v>
          </cell>
        </row>
        <row r="62">
          <cell r="C62">
            <v>195</v>
          </cell>
        </row>
        <row r="63">
          <cell r="C63">
            <v>50</v>
          </cell>
        </row>
      </sheetData>
      <sheetData sheetId="24">
        <row r="17">
          <cell r="C17">
            <v>122</v>
          </cell>
        </row>
        <row r="34">
          <cell r="C34">
            <v>138</v>
          </cell>
        </row>
        <row r="35">
          <cell r="C35">
            <v>23</v>
          </cell>
        </row>
        <row r="36">
          <cell r="C36">
            <v>53</v>
          </cell>
        </row>
        <row r="37">
          <cell r="C37">
            <v>10</v>
          </cell>
        </row>
        <row r="60">
          <cell r="C60">
            <v>67</v>
          </cell>
        </row>
        <row r="61">
          <cell r="C61">
            <v>6</v>
          </cell>
        </row>
        <row r="62">
          <cell r="C62">
            <v>15</v>
          </cell>
        </row>
        <row r="63">
          <cell r="C63">
            <v>3</v>
          </cell>
        </row>
      </sheetData>
      <sheetData sheetId="25">
        <row r="17">
          <cell r="C17">
            <v>65</v>
          </cell>
        </row>
        <row r="34">
          <cell r="C34">
            <v>70</v>
          </cell>
        </row>
        <row r="35">
          <cell r="C35">
            <v>8</v>
          </cell>
        </row>
        <row r="36">
          <cell r="C36">
            <v>23</v>
          </cell>
        </row>
        <row r="37">
          <cell r="C37">
            <v>3</v>
          </cell>
        </row>
        <row r="60">
          <cell r="C60">
            <v>42</v>
          </cell>
        </row>
        <row r="61">
          <cell r="C61">
            <v>5</v>
          </cell>
        </row>
        <row r="62">
          <cell r="C62">
            <v>5</v>
          </cell>
        </row>
        <row r="63">
          <cell r="C63">
            <v>1</v>
          </cell>
        </row>
      </sheetData>
      <sheetData sheetId="26">
        <row r="17">
          <cell r="C17">
            <v>777</v>
          </cell>
        </row>
        <row r="34">
          <cell r="C34">
            <v>816</v>
          </cell>
        </row>
        <row r="35">
          <cell r="C35">
            <v>74</v>
          </cell>
        </row>
        <row r="36">
          <cell r="C36">
            <v>270</v>
          </cell>
        </row>
        <row r="37">
          <cell r="C37">
            <v>44</v>
          </cell>
        </row>
        <row r="60">
          <cell r="C60">
            <v>572</v>
          </cell>
        </row>
        <row r="61">
          <cell r="C61">
            <v>25</v>
          </cell>
        </row>
        <row r="62">
          <cell r="C62">
            <v>58</v>
          </cell>
        </row>
        <row r="63">
          <cell r="C63">
            <v>27</v>
          </cell>
        </row>
      </sheetData>
      <sheetData sheetId="27"/>
      <sheetData sheetId="28"/>
      <sheetData sheetId="29">
        <row r="17">
          <cell r="C17">
            <v>60</v>
          </cell>
        </row>
        <row r="34">
          <cell r="C34">
            <v>63</v>
          </cell>
        </row>
        <row r="35">
          <cell r="C35">
            <v>15</v>
          </cell>
        </row>
        <row r="36">
          <cell r="C36">
            <v>17</v>
          </cell>
        </row>
        <row r="37">
          <cell r="C37">
            <v>4</v>
          </cell>
        </row>
        <row r="60">
          <cell r="C60">
            <v>43</v>
          </cell>
        </row>
        <row r="61">
          <cell r="C61">
            <v>3</v>
          </cell>
        </row>
        <row r="62">
          <cell r="C62">
            <v>8</v>
          </cell>
        </row>
        <row r="63">
          <cell r="C63">
            <v>1</v>
          </cell>
        </row>
      </sheetData>
      <sheetData sheetId="30">
        <row r="17">
          <cell r="C17">
            <v>37</v>
          </cell>
        </row>
        <row r="34">
          <cell r="C34">
            <v>41</v>
          </cell>
        </row>
        <row r="35">
          <cell r="C35">
            <v>9</v>
          </cell>
        </row>
        <row r="36">
          <cell r="C36">
            <v>8</v>
          </cell>
        </row>
        <row r="37">
          <cell r="C37">
            <v>4</v>
          </cell>
        </row>
        <row r="60">
          <cell r="C60">
            <v>28</v>
          </cell>
        </row>
        <row r="61">
          <cell r="C61">
            <v>1</v>
          </cell>
        </row>
        <row r="62">
          <cell r="C62">
            <v>3</v>
          </cell>
        </row>
        <row r="63">
          <cell r="C63">
            <v>0</v>
          </cell>
        </row>
      </sheetData>
      <sheetData sheetId="31">
        <row r="17">
          <cell r="C17">
            <v>30</v>
          </cell>
        </row>
        <row r="34">
          <cell r="C34">
            <v>52</v>
          </cell>
        </row>
        <row r="35">
          <cell r="C35">
            <v>11</v>
          </cell>
        </row>
        <row r="36">
          <cell r="C36">
            <v>9</v>
          </cell>
        </row>
        <row r="37">
          <cell r="C37">
            <v>3</v>
          </cell>
        </row>
        <row r="60">
          <cell r="C60">
            <v>26</v>
          </cell>
        </row>
        <row r="61">
          <cell r="C61">
            <v>0</v>
          </cell>
        </row>
        <row r="62">
          <cell r="C62">
            <v>0</v>
          </cell>
        </row>
        <row r="63">
          <cell r="C63">
            <v>0</v>
          </cell>
        </row>
      </sheetData>
      <sheetData sheetId="32">
        <row r="17">
          <cell r="C17">
            <v>24</v>
          </cell>
        </row>
        <row r="34">
          <cell r="C34">
            <v>33</v>
          </cell>
        </row>
        <row r="35">
          <cell r="C35">
            <v>1</v>
          </cell>
        </row>
        <row r="36">
          <cell r="C36">
            <v>4</v>
          </cell>
        </row>
        <row r="37">
          <cell r="C37">
            <v>1</v>
          </cell>
        </row>
        <row r="60">
          <cell r="C60">
            <v>15</v>
          </cell>
        </row>
        <row r="61">
          <cell r="C61">
            <v>0</v>
          </cell>
        </row>
        <row r="62">
          <cell r="C62">
            <v>1</v>
          </cell>
        </row>
        <row r="63">
          <cell r="C63">
            <v>1</v>
          </cell>
        </row>
      </sheetData>
      <sheetData sheetId="33">
        <row r="17">
          <cell r="C17">
            <v>37</v>
          </cell>
        </row>
        <row r="34">
          <cell r="C34">
            <v>52</v>
          </cell>
        </row>
        <row r="35">
          <cell r="C35">
            <v>11</v>
          </cell>
        </row>
        <row r="36">
          <cell r="C36">
            <v>14</v>
          </cell>
        </row>
        <row r="37">
          <cell r="C37">
            <v>1</v>
          </cell>
        </row>
        <row r="60">
          <cell r="C60">
            <v>31</v>
          </cell>
        </row>
        <row r="61">
          <cell r="C61">
            <v>0</v>
          </cell>
        </row>
        <row r="62">
          <cell r="C62">
            <v>2</v>
          </cell>
        </row>
        <row r="63">
          <cell r="C63">
            <v>3</v>
          </cell>
        </row>
      </sheetData>
      <sheetData sheetId="34">
        <row r="17">
          <cell r="C17">
            <v>22</v>
          </cell>
        </row>
        <row r="34">
          <cell r="C34">
            <v>34</v>
          </cell>
        </row>
        <row r="35">
          <cell r="C35">
            <v>4</v>
          </cell>
        </row>
        <row r="36">
          <cell r="C36">
            <v>6</v>
          </cell>
        </row>
        <row r="37">
          <cell r="C37">
            <v>0</v>
          </cell>
        </row>
        <row r="60">
          <cell r="C60">
            <v>20</v>
          </cell>
        </row>
        <row r="61">
          <cell r="C61">
            <v>0</v>
          </cell>
        </row>
        <row r="62">
          <cell r="C62">
            <v>2</v>
          </cell>
        </row>
        <row r="63">
          <cell r="C63">
            <v>0</v>
          </cell>
        </row>
      </sheetData>
      <sheetData sheetId="35">
        <row r="17">
          <cell r="C17">
            <v>31</v>
          </cell>
        </row>
        <row r="34">
          <cell r="C34">
            <v>33</v>
          </cell>
        </row>
        <row r="35">
          <cell r="C35">
            <v>5</v>
          </cell>
        </row>
        <row r="36">
          <cell r="C36">
            <v>9</v>
          </cell>
        </row>
        <row r="37">
          <cell r="C37">
            <v>2</v>
          </cell>
        </row>
        <row r="60">
          <cell r="C60">
            <v>23</v>
          </cell>
        </row>
        <row r="61">
          <cell r="C61">
            <v>1</v>
          </cell>
        </row>
        <row r="62">
          <cell r="C62">
            <v>2</v>
          </cell>
        </row>
        <row r="63">
          <cell r="C63">
            <v>0</v>
          </cell>
        </row>
      </sheetData>
      <sheetData sheetId="36">
        <row r="17">
          <cell r="C17">
            <v>34</v>
          </cell>
        </row>
        <row r="34">
          <cell r="C34">
            <v>46</v>
          </cell>
        </row>
        <row r="35">
          <cell r="C35">
            <v>3</v>
          </cell>
        </row>
        <row r="36">
          <cell r="C36">
            <v>11</v>
          </cell>
        </row>
        <row r="37">
          <cell r="C37">
            <v>0</v>
          </cell>
        </row>
        <row r="60">
          <cell r="C60">
            <v>23</v>
          </cell>
        </row>
        <row r="61">
          <cell r="C61">
            <v>0</v>
          </cell>
        </row>
        <row r="62">
          <cell r="C62">
            <v>4</v>
          </cell>
        </row>
        <row r="63">
          <cell r="C63">
            <v>2</v>
          </cell>
        </row>
      </sheetData>
      <sheetData sheetId="37">
        <row r="17">
          <cell r="C17">
            <v>11</v>
          </cell>
        </row>
        <row r="34">
          <cell r="C34">
            <v>35</v>
          </cell>
        </row>
        <row r="35">
          <cell r="C35">
            <v>6</v>
          </cell>
        </row>
        <row r="36">
          <cell r="C36">
            <v>3</v>
          </cell>
        </row>
        <row r="37">
          <cell r="C37">
            <v>0</v>
          </cell>
        </row>
        <row r="60">
          <cell r="C60">
            <v>9</v>
          </cell>
        </row>
        <row r="61">
          <cell r="C61">
            <v>0</v>
          </cell>
        </row>
        <row r="62">
          <cell r="C62">
            <v>0</v>
          </cell>
        </row>
        <row r="63">
          <cell r="C63">
            <v>1</v>
          </cell>
        </row>
      </sheetData>
      <sheetData sheetId="38">
        <row r="17">
          <cell r="C17">
            <v>60</v>
          </cell>
        </row>
        <row r="34">
          <cell r="C34">
            <v>56</v>
          </cell>
        </row>
        <row r="35">
          <cell r="C35">
            <v>17</v>
          </cell>
        </row>
        <row r="36">
          <cell r="C36">
            <v>11</v>
          </cell>
        </row>
        <row r="37">
          <cell r="C37">
            <v>6</v>
          </cell>
        </row>
        <row r="60">
          <cell r="C60">
            <v>43</v>
          </cell>
        </row>
        <row r="61">
          <cell r="C61">
            <v>2</v>
          </cell>
        </row>
        <row r="62">
          <cell r="C62">
            <v>10</v>
          </cell>
        </row>
        <row r="63">
          <cell r="C63">
            <v>3</v>
          </cell>
        </row>
      </sheetData>
      <sheetData sheetId="39"/>
      <sheetData sheetId="40">
        <row r="17">
          <cell r="C17">
            <v>698</v>
          </cell>
        </row>
        <row r="34">
          <cell r="C34">
            <v>1079</v>
          </cell>
        </row>
        <row r="35">
          <cell r="C35">
            <v>172</v>
          </cell>
        </row>
        <row r="36">
          <cell r="C36">
            <v>202</v>
          </cell>
        </row>
        <row r="37">
          <cell r="C37">
            <v>59</v>
          </cell>
        </row>
        <row r="60">
          <cell r="C60">
            <v>456</v>
          </cell>
        </row>
        <row r="61">
          <cell r="C61">
            <v>49</v>
          </cell>
        </row>
        <row r="62">
          <cell r="C62">
            <v>31</v>
          </cell>
        </row>
        <row r="63">
          <cell r="C63">
            <v>35</v>
          </cell>
        </row>
      </sheetData>
      <sheetData sheetId="41">
        <row r="17">
          <cell r="C17">
            <v>32</v>
          </cell>
        </row>
        <row r="34">
          <cell r="C34">
            <v>78</v>
          </cell>
        </row>
        <row r="35">
          <cell r="C35">
            <v>13</v>
          </cell>
        </row>
        <row r="36">
          <cell r="C36">
            <v>12</v>
          </cell>
        </row>
        <row r="37">
          <cell r="C37">
            <v>3</v>
          </cell>
        </row>
        <row r="60">
          <cell r="C60">
            <v>20</v>
          </cell>
        </row>
        <row r="61">
          <cell r="C61">
            <v>1</v>
          </cell>
        </row>
        <row r="62">
          <cell r="C62">
            <v>5</v>
          </cell>
        </row>
        <row r="63">
          <cell r="C63">
            <v>0</v>
          </cell>
        </row>
      </sheetData>
      <sheetData sheetId="42">
        <row r="17">
          <cell r="C17">
            <v>33</v>
          </cell>
        </row>
        <row r="34">
          <cell r="C34">
            <v>41</v>
          </cell>
        </row>
        <row r="35">
          <cell r="C35">
            <v>14</v>
          </cell>
        </row>
        <row r="36">
          <cell r="C36">
            <v>16</v>
          </cell>
        </row>
        <row r="37">
          <cell r="C37">
            <v>5</v>
          </cell>
        </row>
        <row r="60">
          <cell r="C60">
            <v>17</v>
          </cell>
        </row>
        <row r="61">
          <cell r="C61">
            <v>0</v>
          </cell>
        </row>
        <row r="62">
          <cell r="C62">
            <v>3</v>
          </cell>
        </row>
        <row r="63">
          <cell r="C63">
            <v>1</v>
          </cell>
        </row>
      </sheetData>
      <sheetData sheetId="43"/>
      <sheetData sheetId="44">
        <row r="17">
          <cell r="C17">
            <v>887</v>
          </cell>
        </row>
        <row r="34">
          <cell r="C34">
            <v>983</v>
          </cell>
        </row>
        <row r="35">
          <cell r="C35">
            <v>169</v>
          </cell>
        </row>
        <row r="36">
          <cell r="C36">
            <v>257</v>
          </cell>
        </row>
        <row r="37">
          <cell r="C37">
            <v>49</v>
          </cell>
        </row>
        <row r="60">
          <cell r="C60">
            <v>436</v>
          </cell>
        </row>
        <row r="61">
          <cell r="C61">
            <v>48</v>
          </cell>
        </row>
        <row r="62">
          <cell r="C62">
            <v>97</v>
          </cell>
        </row>
        <row r="63">
          <cell r="C63">
            <v>18</v>
          </cell>
        </row>
      </sheetData>
      <sheetData sheetId="45">
        <row r="17">
          <cell r="C17">
            <v>291</v>
          </cell>
        </row>
        <row r="34">
          <cell r="C34">
            <v>305</v>
          </cell>
        </row>
        <row r="35">
          <cell r="C35">
            <v>67</v>
          </cell>
        </row>
        <row r="36">
          <cell r="C36">
            <v>113</v>
          </cell>
        </row>
        <row r="37">
          <cell r="C37">
            <v>27</v>
          </cell>
        </row>
        <row r="60">
          <cell r="C60">
            <v>201</v>
          </cell>
        </row>
        <row r="61">
          <cell r="C61">
            <v>16</v>
          </cell>
        </row>
        <row r="62">
          <cell r="C62">
            <v>28</v>
          </cell>
        </row>
        <row r="63">
          <cell r="C63">
            <v>3</v>
          </cell>
        </row>
      </sheetData>
      <sheetData sheetId="46">
        <row r="17">
          <cell r="C17">
            <v>14</v>
          </cell>
        </row>
        <row r="34">
          <cell r="C34">
            <v>57</v>
          </cell>
        </row>
        <row r="35">
          <cell r="C35">
            <v>6</v>
          </cell>
        </row>
        <row r="36">
          <cell r="C36">
            <v>2</v>
          </cell>
        </row>
        <row r="37">
          <cell r="C37">
            <v>0</v>
          </cell>
        </row>
        <row r="60">
          <cell r="C60">
            <v>3</v>
          </cell>
        </row>
        <row r="61">
          <cell r="C61">
            <v>3</v>
          </cell>
        </row>
        <row r="62">
          <cell r="C62">
            <v>2</v>
          </cell>
        </row>
        <row r="63">
          <cell r="C63">
            <v>0</v>
          </cell>
        </row>
      </sheetData>
      <sheetData sheetId="47"/>
      <sheetData sheetId="48">
        <row r="17">
          <cell r="C17">
            <v>1574</v>
          </cell>
        </row>
        <row r="34">
          <cell r="C34">
            <v>1106</v>
          </cell>
        </row>
        <row r="35">
          <cell r="C35">
            <v>427</v>
          </cell>
        </row>
        <row r="36">
          <cell r="C36">
            <v>399</v>
          </cell>
        </row>
        <row r="37">
          <cell r="C37">
            <v>127</v>
          </cell>
        </row>
        <row r="60">
          <cell r="C60">
            <v>913</v>
          </cell>
        </row>
        <row r="61">
          <cell r="C61">
            <v>70</v>
          </cell>
        </row>
        <row r="62">
          <cell r="C62">
            <v>77</v>
          </cell>
        </row>
        <row r="63">
          <cell r="C63">
            <v>49</v>
          </cell>
        </row>
      </sheetData>
      <sheetData sheetId="49">
        <row r="17">
          <cell r="C17">
            <v>200</v>
          </cell>
        </row>
        <row r="34">
          <cell r="C34">
            <v>216</v>
          </cell>
        </row>
        <row r="35">
          <cell r="C35">
            <v>98</v>
          </cell>
        </row>
        <row r="36">
          <cell r="C36">
            <v>40</v>
          </cell>
        </row>
        <row r="37">
          <cell r="C37">
            <v>21</v>
          </cell>
        </row>
        <row r="60">
          <cell r="C60">
            <v>128</v>
          </cell>
        </row>
        <row r="61">
          <cell r="C61">
            <v>15</v>
          </cell>
        </row>
        <row r="62">
          <cell r="C62">
            <v>28</v>
          </cell>
        </row>
        <row r="63">
          <cell r="C63">
            <v>6</v>
          </cell>
        </row>
      </sheetData>
      <sheetData sheetId="50">
        <row r="17">
          <cell r="C17">
            <v>94</v>
          </cell>
        </row>
        <row r="34">
          <cell r="C34">
            <v>105</v>
          </cell>
        </row>
        <row r="35">
          <cell r="C35">
            <v>29</v>
          </cell>
        </row>
        <row r="36">
          <cell r="C36">
            <v>29</v>
          </cell>
        </row>
        <row r="37">
          <cell r="C37">
            <v>8</v>
          </cell>
        </row>
        <row r="60">
          <cell r="C60">
            <v>65</v>
          </cell>
        </row>
        <row r="61">
          <cell r="C61">
            <v>4</v>
          </cell>
        </row>
        <row r="62">
          <cell r="C62">
            <v>13</v>
          </cell>
        </row>
        <row r="63">
          <cell r="C63">
            <v>0</v>
          </cell>
        </row>
      </sheetData>
      <sheetData sheetId="51">
        <row r="17">
          <cell r="C17">
            <v>63</v>
          </cell>
        </row>
        <row r="34">
          <cell r="C34">
            <v>54</v>
          </cell>
        </row>
        <row r="35">
          <cell r="C35">
            <v>15</v>
          </cell>
        </row>
        <row r="36">
          <cell r="C36">
            <v>24</v>
          </cell>
        </row>
        <row r="37">
          <cell r="C37">
            <v>0</v>
          </cell>
        </row>
        <row r="60">
          <cell r="C60">
            <v>43</v>
          </cell>
        </row>
        <row r="61">
          <cell r="C61">
            <v>14</v>
          </cell>
        </row>
        <row r="62">
          <cell r="C62">
            <v>6</v>
          </cell>
        </row>
        <row r="63">
          <cell r="C63">
            <v>0</v>
          </cell>
        </row>
      </sheetData>
      <sheetData sheetId="52">
        <row r="17">
          <cell r="C17">
            <v>11</v>
          </cell>
        </row>
        <row r="34">
          <cell r="C34">
            <v>15</v>
          </cell>
        </row>
        <row r="35">
          <cell r="C35">
            <v>3</v>
          </cell>
        </row>
        <row r="36">
          <cell r="C36">
            <v>5</v>
          </cell>
        </row>
        <row r="37">
          <cell r="C37">
            <v>2</v>
          </cell>
        </row>
        <row r="60">
          <cell r="C60">
            <v>6</v>
          </cell>
        </row>
        <row r="61">
          <cell r="C61">
            <v>0</v>
          </cell>
        </row>
        <row r="62">
          <cell r="C62">
            <v>2</v>
          </cell>
        </row>
        <row r="63">
          <cell r="C63">
            <v>0</v>
          </cell>
        </row>
      </sheetData>
      <sheetData sheetId="53"/>
      <sheetData sheetId="54">
        <row r="17">
          <cell r="C17">
            <v>824</v>
          </cell>
        </row>
        <row r="34">
          <cell r="C34">
            <v>938</v>
          </cell>
        </row>
        <row r="35">
          <cell r="C35">
            <v>190</v>
          </cell>
        </row>
        <row r="36">
          <cell r="C36">
            <v>176</v>
          </cell>
        </row>
        <row r="37">
          <cell r="C37">
            <v>41</v>
          </cell>
        </row>
        <row r="60">
          <cell r="C60">
            <v>630</v>
          </cell>
        </row>
        <row r="61">
          <cell r="C61">
            <v>50</v>
          </cell>
        </row>
        <row r="62">
          <cell r="C62">
            <v>100</v>
          </cell>
        </row>
        <row r="63">
          <cell r="C63">
            <v>27</v>
          </cell>
        </row>
      </sheetData>
      <sheetData sheetId="55">
        <row r="17">
          <cell r="C17">
            <v>20</v>
          </cell>
        </row>
        <row r="34">
          <cell r="C34">
            <v>46</v>
          </cell>
        </row>
        <row r="35">
          <cell r="C35">
            <v>6</v>
          </cell>
        </row>
        <row r="36">
          <cell r="C36">
            <v>6</v>
          </cell>
        </row>
        <row r="37">
          <cell r="C37">
            <v>2</v>
          </cell>
        </row>
        <row r="60">
          <cell r="C60">
            <v>14</v>
          </cell>
        </row>
        <row r="61">
          <cell r="C61">
            <v>1</v>
          </cell>
        </row>
        <row r="62">
          <cell r="C62">
            <v>4</v>
          </cell>
        </row>
        <row r="63">
          <cell r="C63">
            <v>1</v>
          </cell>
        </row>
      </sheetData>
      <sheetData sheetId="56">
        <row r="17">
          <cell r="C17">
            <v>527</v>
          </cell>
        </row>
        <row r="34">
          <cell r="C34">
            <v>567</v>
          </cell>
        </row>
        <row r="35">
          <cell r="C35">
            <v>103</v>
          </cell>
        </row>
        <row r="36">
          <cell r="C36">
            <v>128</v>
          </cell>
        </row>
        <row r="37">
          <cell r="C37">
            <v>31</v>
          </cell>
        </row>
        <row r="60">
          <cell r="C60">
            <v>371</v>
          </cell>
        </row>
        <row r="61">
          <cell r="C61">
            <v>17</v>
          </cell>
        </row>
        <row r="62">
          <cell r="C62">
            <v>31</v>
          </cell>
        </row>
        <row r="63">
          <cell r="C63">
            <v>13</v>
          </cell>
        </row>
      </sheetData>
      <sheetData sheetId="57">
        <row r="17">
          <cell r="C17">
            <v>425</v>
          </cell>
        </row>
        <row r="34">
          <cell r="C34">
            <v>470</v>
          </cell>
        </row>
        <row r="35">
          <cell r="C35">
            <v>61</v>
          </cell>
        </row>
        <row r="36">
          <cell r="C36">
            <v>131</v>
          </cell>
        </row>
        <row r="37">
          <cell r="C37">
            <v>28</v>
          </cell>
        </row>
        <row r="60">
          <cell r="C60">
            <v>174</v>
          </cell>
        </row>
        <row r="61">
          <cell r="C61">
            <v>24</v>
          </cell>
        </row>
        <row r="62">
          <cell r="C62">
            <v>154</v>
          </cell>
        </row>
        <row r="63">
          <cell r="C63">
            <v>16</v>
          </cell>
        </row>
      </sheetData>
      <sheetData sheetId="58"/>
      <sheetData sheetId="59"/>
      <sheetData sheetId="60">
        <row r="17">
          <cell r="C17">
            <v>369</v>
          </cell>
        </row>
        <row r="34">
          <cell r="C34">
            <v>458</v>
          </cell>
        </row>
        <row r="35">
          <cell r="C35">
            <v>91</v>
          </cell>
        </row>
        <row r="36">
          <cell r="C36">
            <v>97</v>
          </cell>
        </row>
        <row r="37">
          <cell r="C37">
            <v>14</v>
          </cell>
        </row>
        <row r="60">
          <cell r="C60">
            <v>281</v>
          </cell>
        </row>
        <row r="61">
          <cell r="C61">
            <v>21</v>
          </cell>
        </row>
        <row r="62">
          <cell r="C62">
            <v>19</v>
          </cell>
        </row>
        <row r="63">
          <cell r="C63">
            <v>2</v>
          </cell>
        </row>
      </sheetData>
      <sheetData sheetId="61">
        <row r="17">
          <cell r="C17">
            <v>52</v>
          </cell>
        </row>
        <row r="34">
          <cell r="C34">
            <v>83</v>
          </cell>
        </row>
        <row r="35">
          <cell r="C35">
            <v>21</v>
          </cell>
        </row>
        <row r="36">
          <cell r="C36">
            <v>14</v>
          </cell>
        </row>
        <row r="37">
          <cell r="C37">
            <v>4</v>
          </cell>
        </row>
        <row r="60">
          <cell r="C60">
            <v>36</v>
          </cell>
        </row>
        <row r="61">
          <cell r="C61">
            <v>8</v>
          </cell>
        </row>
        <row r="62">
          <cell r="C62">
            <v>6</v>
          </cell>
        </row>
        <row r="63">
          <cell r="C63">
            <v>0</v>
          </cell>
        </row>
      </sheetData>
      <sheetData sheetId="62"/>
      <sheetData sheetId="63"/>
      <sheetData sheetId="64"/>
      <sheetData sheetId="65">
        <row r="17">
          <cell r="C17">
            <v>42</v>
          </cell>
        </row>
        <row r="34">
          <cell r="C34">
            <v>33</v>
          </cell>
        </row>
        <row r="35">
          <cell r="C35">
            <v>4</v>
          </cell>
        </row>
        <row r="36">
          <cell r="C36">
            <v>16</v>
          </cell>
        </row>
        <row r="37">
          <cell r="C37">
            <v>4</v>
          </cell>
        </row>
        <row r="60">
          <cell r="C60">
            <v>32</v>
          </cell>
        </row>
        <row r="61">
          <cell r="C61">
            <v>4</v>
          </cell>
        </row>
        <row r="62">
          <cell r="C62">
            <v>1</v>
          </cell>
        </row>
        <row r="63">
          <cell r="C63">
            <v>3</v>
          </cell>
        </row>
      </sheetData>
      <sheetData sheetId="66"/>
      <sheetData sheetId="67">
        <row r="17">
          <cell r="C17">
            <v>346</v>
          </cell>
        </row>
        <row r="34">
          <cell r="C34">
            <v>489</v>
          </cell>
        </row>
        <row r="35">
          <cell r="C35">
            <v>123</v>
          </cell>
        </row>
        <row r="36">
          <cell r="C36">
            <v>137</v>
          </cell>
        </row>
        <row r="37">
          <cell r="C37">
            <v>28</v>
          </cell>
        </row>
        <row r="60">
          <cell r="C60">
            <v>273</v>
          </cell>
        </row>
        <row r="61">
          <cell r="C61">
            <v>16</v>
          </cell>
        </row>
        <row r="62">
          <cell r="C62">
            <v>27</v>
          </cell>
        </row>
        <row r="63">
          <cell r="C63">
            <v>13</v>
          </cell>
        </row>
      </sheetData>
      <sheetData sheetId="68">
        <row r="17">
          <cell r="C17">
            <v>103</v>
          </cell>
        </row>
        <row r="34">
          <cell r="C34">
            <v>144</v>
          </cell>
        </row>
        <row r="35">
          <cell r="C35">
            <v>56</v>
          </cell>
        </row>
        <row r="36">
          <cell r="C36">
            <v>42</v>
          </cell>
        </row>
        <row r="37">
          <cell r="C37">
            <v>15</v>
          </cell>
        </row>
        <row r="60">
          <cell r="C60">
            <v>68</v>
          </cell>
        </row>
        <row r="61">
          <cell r="C61">
            <v>7</v>
          </cell>
        </row>
        <row r="62">
          <cell r="C62">
            <v>12</v>
          </cell>
        </row>
        <row r="63">
          <cell r="C63">
            <v>3</v>
          </cell>
        </row>
      </sheetData>
      <sheetData sheetId="69">
        <row r="17">
          <cell r="C17">
            <v>32</v>
          </cell>
        </row>
        <row r="34">
          <cell r="C34">
            <v>53</v>
          </cell>
        </row>
        <row r="35">
          <cell r="C35">
            <v>11</v>
          </cell>
        </row>
        <row r="36">
          <cell r="C36">
            <v>17</v>
          </cell>
        </row>
        <row r="37">
          <cell r="C37">
            <v>2</v>
          </cell>
        </row>
        <row r="60">
          <cell r="C60">
            <v>23</v>
          </cell>
        </row>
        <row r="61">
          <cell r="C61">
            <v>0</v>
          </cell>
        </row>
        <row r="62">
          <cell r="C62">
            <v>6</v>
          </cell>
        </row>
        <row r="63">
          <cell r="C63">
            <v>2</v>
          </cell>
        </row>
      </sheetData>
      <sheetData sheetId="70"/>
      <sheetData sheetId="71"/>
      <sheetData sheetId="72">
        <row r="17">
          <cell r="C17">
            <v>90</v>
          </cell>
        </row>
        <row r="34">
          <cell r="C34">
            <v>126</v>
          </cell>
        </row>
        <row r="35">
          <cell r="C35">
            <v>22</v>
          </cell>
        </row>
        <row r="36">
          <cell r="C36">
            <v>38</v>
          </cell>
        </row>
        <row r="37">
          <cell r="C37">
            <v>4</v>
          </cell>
        </row>
        <row r="60">
          <cell r="C60">
            <v>36</v>
          </cell>
        </row>
        <row r="61">
          <cell r="C61">
            <v>20</v>
          </cell>
        </row>
        <row r="62">
          <cell r="C62">
            <v>8</v>
          </cell>
        </row>
        <row r="63">
          <cell r="C63">
            <v>1</v>
          </cell>
        </row>
      </sheetData>
      <sheetData sheetId="73">
        <row r="17">
          <cell r="C17">
            <v>118</v>
          </cell>
        </row>
        <row r="34">
          <cell r="C34">
            <v>119</v>
          </cell>
        </row>
        <row r="35">
          <cell r="C35">
            <v>19</v>
          </cell>
        </row>
        <row r="36">
          <cell r="C36">
            <v>43</v>
          </cell>
        </row>
        <row r="37">
          <cell r="C37">
            <v>16</v>
          </cell>
        </row>
        <row r="60">
          <cell r="C60">
            <v>48</v>
          </cell>
        </row>
        <row r="61">
          <cell r="C61">
            <v>10</v>
          </cell>
        </row>
        <row r="62">
          <cell r="C62">
            <v>16</v>
          </cell>
        </row>
        <row r="63">
          <cell r="C63">
            <v>2</v>
          </cell>
        </row>
      </sheetData>
      <sheetData sheetId="74">
        <row r="17">
          <cell r="C17">
            <v>90</v>
          </cell>
        </row>
        <row r="34">
          <cell r="C34">
            <v>113</v>
          </cell>
        </row>
        <row r="35">
          <cell r="C35">
            <v>10</v>
          </cell>
        </row>
        <row r="36">
          <cell r="C36">
            <v>32</v>
          </cell>
        </row>
        <row r="37">
          <cell r="C37">
            <v>5</v>
          </cell>
        </row>
        <row r="60">
          <cell r="C60">
            <v>54</v>
          </cell>
        </row>
        <row r="61">
          <cell r="C61">
            <v>9</v>
          </cell>
        </row>
        <row r="62">
          <cell r="C62">
            <v>9</v>
          </cell>
        </row>
        <row r="63">
          <cell r="C63">
            <v>5</v>
          </cell>
        </row>
      </sheetData>
      <sheetData sheetId="75"/>
      <sheetData sheetId="76">
        <row r="17">
          <cell r="C17">
            <v>669</v>
          </cell>
        </row>
        <row r="34">
          <cell r="C34">
            <v>670</v>
          </cell>
        </row>
        <row r="35">
          <cell r="C35">
            <v>144</v>
          </cell>
        </row>
        <row r="36">
          <cell r="C36">
            <v>183</v>
          </cell>
        </row>
        <row r="37">
          <cell r="C37">
            <v>35</v>
          </cell>
        </row>
        <row r="60">
          <cell r="C60">
            <v>516</v>
          </cell>
        </row>
        <row r="61">
          <cell r="C61">
            <v>23</v>
          </cell>
        </row>
        <row r="62">
          <cell r="C62">
            <v>52</v>
          </cell>
        </row>
        <row r="63">
          <cell r="C63">
            <v>19</v>
          </cell>
        </row>
      </sheetData>
      <sheetData sheetId="77">
        <row r="17">
          <cell r="C17">
            <v>40</v>
          </cell>
        </row>
        <row r="34">
          <cell r="C34">
            <v>61</v>
          </cell>
        </row>
        <row r="35">
          <cell r="C35">
            <v>26</v>
          </cell>
        </row>
        <row r="36">
          <cell r="C36">
            <v>23</v>
          </cell>
        </row>
        <row r="37">
          <cell r="C37">
            <v>1</v>
          </cell>
        </row>
        <row r="60">
          <cell r="C60">
            <v>32</v>
          </cell>
        </row>
        <row r="61">
          <cell r="C61">
            <v>1</v>
          </cell>
        </row>
        <row r="62">
          <cell r="C62">
            <v>5</v>
          </cell>
        </row>
        <row r="63">
          <cell r="C63">
            <v>0</v>
          </cell>
        </row>
      </sheetData>
      <sheetData sheetId="78">
        <row r="17">
          <cell r="C17">
            <v>45</v>
          </cell>
        </row>
        <row r="34">
          <cell r="C34">
            <v>45</v>
          </cell>
        </row>
        <row r="35">
          <cell r="C35">
            <v>13</v>
          </cell>
        </row>
        <row r="36">
          <cell r="C36">
            <v>12</v>
          </cell>
        </row>
        <row r="37">
          <cell r="C37">
            <v>6</v>
          </cell>
        </row>
        <row r="60">
          <cell r="C60">
            <v>38</v>
          </cell>
        </row>
        <row r="61">
          <cell r="C61">
            <v>0</v>
          </cell>
        </row>
        <row r="62">
          <cell r="C62">
            <v>3</v>
          </cell>
        </row>
        <row r="63">
          <cell r="C63">
            <v>1</v>
          </cell>
        </row>
      </sheetData>
      <sheetData sheetId="79"/>
      <sheetData sheetId="80">
        <row r="17">
          <cell r="C17">
            <v>597</v>
          </cell>
        </row>
        <row r="34">
          <cell r="C34">
            <v>517</v>
          </cell>
        </row>
        <row r="35">
          <cell r="C35">
            <v>120</v>
          </cell>
        </row>
        <row r="36">
          <cell r="C36">
            <v>272</v>
          </cell>
        </row>
        <row r="37">
          <cell r="C37">
            <v>53</v>
          </cell>
        </row>
        <row r="60">
          <cell r="C60">
            <v>425</v>
          </cell>
        </row>
        <row r="61">
          <cell r="C61">
            <v>24</v>
          </cell>
        </row>
        <row r="62">
          <cell r="C62">
            <v>61</v>
          </cell>
        </row>
        <row r="63">
          <cell r="C63">
            <v>13</v>
          </cell>
        </row>
      </sheetData>
      <sheetData sheetId="81">
        <row r="17">
          <cell r="C17">
            <v>64</v>
          </cell>
        </row>
        <row r="34">
          <cell r="C34">
            <v>80</v>
          </cell>
        </row>
        <row r="35">
          <cell r="C35">
            <v>24</v>
          </cell>
        </row>
        <row r="36">
          <cell r="C36">
            <v>27</v>
          </cell>
        </row>
        <row r="37">
          <cell r="C37">
            <v>10</v>
          </cell>
        </row>
        <row r="60">
          <cell r="C60">
            <v>34</v>
          </cell>
        </row>
        <row r="61">
          <cell r="C61">
            <v>3</v>
          </cell>
        </row>
        <row r="62">
          <cell r="C62">
            <v>4</v>
          </cell>
        </row>
        <row r="63">
          <cell r="C63">
            <v>1</v>
          </cell>
        </row>
      </sheetData>
      <sheetData sheetId="82">
        <row r="17">
          <cell r="C17">
            <v>57</v>
          </cell>
        </row>
        <row r="34">
          <cell r="C34">
            <v>55</v>
          </cell>
        </row>
        <row r="35">
          <cell r="C35">
            <v>3</v>
          </cell>
        </row>
        <row r="36">
          <cell r="C36">
            <v>31</v>
          </cell>
        </row>
        <row r="37">
          <cell r="C37">
            <v>4</v>
          </cell>
        </row>
        <row r="60">
          <cell r="C60">
            <v>49</v>
          </cell>
        </row>
        <row r="61">
          <cell r="C61">
            <v>2</v>
          </cell>
        </row>
        <row r="62">
          <cell r="C62">
            <v>4</v>
          </cell>
        </row>
        <row r="63">
          <cell r="C63">
            <v>2</v>
          </cell>
        </row>
      </sheetData>
      <sheetData sheetId="83"/>
      <sheetData sheetId="84">
        <row r="17">
          <cell r="C17">
            <v>519</v>
          </cell>
        </row>
        <row r="34">
          <cell r="C34">
            <v>570</v>
          </cell>
        </row>
        <row r="35">
          <cell r="C35">
            <v>133</v>
          </cell>
        </row>
        <row r="36">
          <cell r="C36">
            <v>69</v>
          </cell>
        </row>
        <row r="37">
          <cell r="C37">
            <v>17</v>
          </cell>
        </row>
        <row r="60">
          <cell r="C60">
            <v>371</v>
          </cell>
        </row>
        <row r="61">
          <cell r="C61">
            <v>6</v>
          </cell>
        </row>
        <row r="62">
          <cell r="C62">
            <v>14</v>
          </cell>
        </row>
        <row r="63">
          <cell r="C63">
            <v>24</v>
          </cell>
        </row>
      </sheetData>
      <sheetData sheetId="85">
        <row r="17">
          <cell r="C17">
            <v>35</v>
          </cell>
        </row>
        <row r="34">
          <cell r="C34">
            <v>35</v>
          </cell>
        </row>
        <row r="35">
          <cell r="C35">
            <v>8</v>
          </cell>
        </row>
        <row r="36">
          <cell r="C36">
            <v>7</v>
          </cell>
        </row>
        <row r="37">
          <cell r="C37">
            <v>1</v>
          </cell>
        </row>
        <row r="60">
          <cell r="C60">
            <v>28</v>
          </cell>
        </row>
        <row r="61">
          <cell r="C61">
            <v>1</v>
          </cell>
        </row>
        <row r="62">
          <cell r="C62">
            <v>0</v>
          </cell>
        </row>
        <row r="63">
          <cell r="C63">
            <v>1</v>
          </cell>
        </row>
      </sheetData>
      <sheetData sheetId="86">
        <row r="17">
          <cell r="C17">
            <v>20</v>
          </cell>
        </row>
        <row r="34">
          <cell r="C34">
            <v>12</v>
          </cell>
        </row>
        <row r="35">
          <cell r="C35">
            <v>4</v>
          </cell>
        </row>
        <row r="36">
          <cell r="C36">
            <v>3</v>
          </cell>
        </row>
        <row r="37">
          <cell r="C37">
            <v>0</v>
          </cell>
        </row>
        <row r="60">
          <cell r="C60">
            <v>12</v>
          </cell>
        </row>
        <row r="61">
          <cell r="C61">
            <v>0</v>
          </cell>
        </row>
        <row r="62">
          <cell r="C62">
            <v>1</v>
          </cell>
        </row>
        <row r="63">
          <cell r="C63">
            <v>0</v>
          </cell>
        </row>
      </sheetData>
      <sheetData sheetId="87"/>
      <sheetData sheetId="88">
        <row r="17">
          <cell r="C17">
            <v>492</v>
          </cell>
        </row>
        <row r="34">
          <cell r="C34">
            <v>438</v>
          </cell>
        </row>
        <row r="35">
          <cell r="C35">
            <v>74</v>
          </cell>
        </row>
        <row r="36">
          <cell r="C36">
            <v>86</v>
          </cell>
        </row>
        <row r="37">
          <cell r="C37">
            <v>11</v>
          </cell>
        </row>
        <row r="60">
          <cell r="C60">
            <v>342</v>
          </cell>
        </row>
        <row r="61">
          <cell r="C61">
            <v>30</v>
          </cell>
        </row>
        <row r="62">
          <cell r="C62">
            <v>35</v>
          </cell>
        </row>
        <row r="63">
          <cell r="C63">
            <v>17</v>
          </cell>
        </row>
      </sheetData>
      <sheetData sheetId="89">
        <row r="17">
          <cell r="C17">
            <v>29</v>
          </cell>
        </row>
        <row r="34">
          <cell r="C34">
            <v>60</v>
          </cell>
        </row>
        <row r="35">
          <cell r="C35">
            <v>1</v>
          </cell>
        </row>
        <row r="36">
          <cell r="C36">
            <v>12</v>
          </cell>
        </row>
        <row r="37">
          <cell r="C37">
            <v>6</v>
          </cell>
        </row>
        <row r="60">
          <cell r="C60">
            <v>22</v>
          </cell>
        </row>
        <row r="61">
          <cell r="C61">
            <v>1</v>
          </cell>
        </row>
        <row r="62">
          <cell r="C62">
            <v>6</v>
          </cell>
        </row>
        <row r="63">
          <cell r="C63">
            <v>0</v>
          </cell>
        </row>
      </sheetData>
      <sheetData sheetId="90">
        <row r="17">
          <cell r="C17">
            <v>48</v>
          </cell>
        </row>
        <row r="34">
          <cell r="C34">
            <v>61</v>
          </cell>
        </row>
        <row r="35">
          <cell r="C35">
            <v>17</v>
          </cell>
        </row>
        <row r="36">
          <cell r="C36">
            <v>12</v>
          </cell>
        </row>
        <row r="37">
          <cell r="C37">
            <v>2</v>
          </cell>
        </row>
        <row r="60">
          <cell r="C60">
            <v>25</v>
          </cell>
        </row>
        <row r="61">
          <cell r="C61">
            <v>8</v>
          </cell>
        </row>
        <row r="62">
          <cell r="C62">
            <v>9</v>
          </cell>
        </row>
        <row r="63">
          <cell r="C63">
            <v>0</v>
          </cell>
        </row>
      </sheetData>
      <sheetData sheetId="91">
        <row r="17">
          <cell r="C17">
            <v>67</v>
          </cell>
        </row>
        <row r="34">
          <cell r="C34">
            <v>51</v>
          </cell>
        </row>
        <row r="35">
          <cell r="C35">
            <v>14</v>
          </cell>
        </row>
        <row r="36">
          <cell r="C36">
            <v>25</v>
          </cell>
        </row>
        <row r="37">
          <cell r="C37">
            <v>8</v>
          </cell>
        </row>
        <row r="60">
          <cell r="C60">
            <v>54</v>
          </cell>
        </row>
        <row r="61">
          <cell r="C61">
            <v>6</v>
          </cell>
        </row>
        <row r="62">
          <cell r="C62">
            <v>4</v>
          </cell>
        </row>
        <row r="63">
          <cell r="C63">
            <v>1</v>
          </cell>
        </row>
      </sheetData>
      <sheetData sheetId="92"/>
      <sheetData sheetId="93"/>
      <sheetData sheetId="94"/>
      <sheetData sheetId="95">
        <row r="17">
          <cell r="C17">
            <v>1452</v>
          </cell>
        </row>
        <row r="34">
          <cell r="C34">
            <v>1485</v>
          </cell>
        </row>
        <row r="35">
          <cell r="C35">
            <v>346</v>
          </cell>
        </row>
        <row r="36">
          <cell r="C36">
            <v>534</v>
          </cell>
        </row>
        <row r="37">
          <cell r="C37">
            <v>144</v>
          </cell>
        </row>
        <row r="60">
          <cell r="C60">
            <v>948</v>
          </cell>
        </row>
        <row r="61">
          <cell r="C61">
            <v>23</v>
          </cell>
        </row>
        <row r="62">
          <cell r="C62">
            <v>260</v>
          </cell>
        </row>
        <row r="63">
          <cell r="C63">
            <v>108</v>
          </cell>
        </row>
      </sheetData>
      <sheetData sheetId="96">
        <row r="17">
          <cell r="C17">
            <v>396</v>
          </cell>
        </row>
        <row r="34">
          <cell r="C34">
            <v>359</v>
          </cell>
        </row>
        <row r="35">
          <cell r="C35">
            <v>81</v>
          </cell>
        </row>
        <row r="36">
          <cell r="C36">
            <v>122</v>
          </cell>
        </row>
        <row r="37">
          <cell r="C37">
            <v>24</v>
          </cell>
        </row>
        <row r="60">
          <cell r="C60">
            <v>111</v>
          </cell>
        </row>
        <row r="61">
          <cell r="C61">
            <v>15</v>
          </cell>
        </row>
        <row r="62">
          <cell r="C62">
            <v>155</v>
          </cell>
        </row>
        <row r="63">
          <cell r="C63">
            <v>20</v>
          </cell>
        </row>
      </sheetData>
      <sheetData sheetId="97">
        <row r="17">
          <cell r="C17">
            <v>1243</v>
          </cell>
        </row>
        <row r="34">
          <cell r="C34">
            <v>1013</v>
          </cell>
        </row>
        <row r="35">
          <cell r="C35">
            <v>215</v>
          </cell>
        </row>
        <row r="36">
          <cell r="C36">
            <v>436</v>
          </cell>
        </row>
        <row r="37">
          <cell r="C37">
            <v>106</v>
          </cell>
        </row>
        <row r="60">
          <cell r="C60">
            <v>936</v>
          </cell>
        </row>
        <row r="61">
          <cell r="C61">
            <v>57</v>
          </cell>
        </row>
        <row r="62">
          <cell r="C62">
            <v>92</v>
          </cell>
        </row>
        <row r="63">
          <cell r="C63">
            <v>46</v>
          </cell>
        </row>
      </sheetData>
      <sheetData sheetId="98">
        <row r="17">
          <cell r="C17">
            <v>294</v>
          </cell>
        </row>
        <row r="34">
          <cell r="C34">
            <v>417</v>
          </cell>
        </row>
        <row r="35">
          <cell r="C35">
            <v>62</v>
          </cell>
        </row>
        <row r="36">
          <cell r="C36">
            <v>116</v>
          </cell>
        </row>
        <row r="37">
          <cell r="C37">
            <v>23</v>
          </cell>
        </row>
        <row r="60">
          <cell r="C60">
            <v>180</v>
          </cell>
        </row>
        <row r="61">
          <cell r="C61">
            <v>18</v>
          </cell>
        </row>
        <row r="62">
          <cell r="C62">
            <v>31</v>
          </cell>
        </row>
        <row r="63">
          <cell r="C63">
            <v>7</v>
          </cell>
        </row>
      </sheetData>
      <sheetData sheetId="99">
        <row r="17">
          <cell r="C17">
            <v>114</v>
          </cell>
        </row>
        <row r="34">
          <cell r="C34">
            <v>115</v>
          </cell>
        </row>
        <row r="35">
          <cell r="C35">
            <v>16</v>
          </cell>
        </row>
        <row r="36">
          <cell r="C36">
            <v>62</v>
          </cell>
        </row>
        <row r="37">
          <cell r="C37">
            <v>4</v>
          </cell>
        </row>
        <row r="60">
          <cell r="C60">
            <v>92</v>
          </cell>
        </row>
        <row r="61">
          <cell r="C61">
            <v>13</v>
          </cell>
        </row>
        <row r="62">
          <cell r="C62">
            <v>4</v>
          </cell>
        </row>
        <row r="63">
          <cell r="C63">
            <v>4</v>
          </cell>
        </row>
      </sheetData>
      <sheetData sheetId="100">
        <row r="17">
          <cell r="C17">
            <v>53</v>
          </cell>
        </row>
        <row r="34">
          <cell r="C34">
            <v>35</v>
          </cell>
        </row>
        <row r="35">
          <cell r="C35">
            <v>12</v>
          </cell>
        </row>
        <row r="36">
          <cell r="C36">
            <v>20</v>
          </cell>
        </row>
        <row r="37">
          <cell r="C37">
            <v>3</v>
          </cell>
        </row>
        <row r="60">
          <cell r="C60">
            <v>33</v>
          </cell>
        </row>
        <row r="61">
          <cell r="C61">
            <v>5</v>
          </cell>
        </row>
        <row r="62">
          <cell r="C62">
            <v>6</v>
          </cell>
        </row>
        <row r="63">
          <cell r="C63">
            <v>1</v>
          </cell>
        </row>
      </sheetData>
      <sheetData sheetId="101">
        <row r="17">
          <cell r="C17">
            <v>84</v>
          </cell>
        </row>
        <row r="34">
          <cell r="C34">
            <v>97</v>
          </cell>
        </row>
        <row r="35">
          <cell r="C35">
            <v>8</v>
          </cell>
        </row>
        <row r="36">
          <cell r="C36">
            <v>43</v>
          </cell>
        </row>
        <row r="37">
          <cell r="C37">
            <v>2</v>
          </cell>
        </row>
        <row r="60">
          <cell r="C60">
            <v>59</v>
          </cell>
        </row>
        <row r="61">
          <cell r="C61">
            <v>6</v>
          </cell>
        </row>
        <row r="62">
          <cell r="C62">
            <v>1</v>
          </cell>
        </row>
        <row r="63">
          <cell r="C63">
            <v>2</v>
          </cell>
        </row>
      </sheetData>
      <sheetData sheetId="102">
        <row r="17">
          <cell r="C17">
            <v>14</v>
          </cell>
        </row>
        <row r="34">
          <cell r="C34">
            <v>22</v>
          </cell>
        </row>
        <row r="35">
          <cell r="C35">
            <v>3</v>
          </cell>
        </row>
        <row r="36">
          <cell r="C36">
            <v>7</v>
          </cell>
        </row>
        <row r="37">
          <cell r="C37">
            <v>0</v>
          </cell>
        </row>
        <row r="60">
          <cell r="C60">
            <v>13</v>
          </cell>
        </row>
        <row r="61">
          <cell r="C61">
            <v>1</v>
          </cell>
        </row>
        <row r="62">
          <cell r="C62">
            <v>0</v>
          </cell>
        </row>
        <row r="63">
          <cell r="C63">
            <v>0</v>
          </cell>
        </row>
      </sheetData>
      <sheetData sheetId="103">
        <row r="17">
          <cell r="C17">
            <v>84</v>
          </cell>
        </row>
        <row r="34">
          <cell r="C34">
            <v>64</v>
          </cell>
        </row>
        <row r="35">
          <cell r="C35">
            <v>6</v>
          </cell>
        </row>
        <row r="36">
          <cell r="C36">
            <v>32</v>
          </cell>
        </row>
        <row r="37">
          <cell r="C37">
            <v>3</v>
          </cell>
        </row>
        <row r="60">
          <cell r="C60">
            <v>62</v>
          </cell>
        </row>
        <row r="61">
          <cell r="C61">
            <v>2</v>
          </cell>
        </row>
        <row r="62">
          <cell r="C62">
            <v>7</v>
          </cell>
        </row>
        <row r="63">
          <cell r="C63">
            <v>3</v>
          </cell>
        </row>
      </sheetData>
      <sheetData sheetId="104"/>
      <sheetData sheetId="105">
        <row r="17">
          <cell r="C17">
            <v>1313</v>
          </cell>
        </row>
        <row r="34">
          <cell r="C34">
            <v>1014</v>
          </cell>
        </row>
        <row r="35">
          <cell r="C35">
            <v>217</v>
          </cell>
        </row>
        <row r="36">
          <cell r="C36">
            <v>435</v>
          </cell>
        </row>
        <row r="37">
          <cell r="C37">
            <v>79</v>
          </cell>
        </row>
        <row r="60">
          <cell r="C60">
            <v>987</v>
          </cell>
        </row>
        <row r="61">
          <cell r="C61">
            <v>38</v>
          </cell>
        </row>
        <row r="62">
          <cell r="C62">
            <v>52</v>
          </cell>
        </row>
        <row r="63">
          <cell r="C63">
            <v>39</v>
          </cell>
        </row>
      </sheetData>
      <sheetData sheetId="106">
        <row r="17">
          <cell r="C17">
            <v>197</v>
          </cell>
        </row>
        <row r="34">
          <cell r="C34">
            <v>166</v>
          </cell>
        </row>
        <row r="35">
          <cell r="C35">
            <v>23</v>
          </cell>
        </row>
        <row r="36">
          <cell r="C36">
            <v>80</v>
          </cell>
        </row>
        <row r="37">
          <cell r="C37">
            <v>9</v>
          </cell>
        </row>
        <row r="60">
          <cell r="C60">
            <v>163</v>
          </cell>
        </row>
        <row r="61">
          <cell r="C61">
            <v>7</v>
          </cell>
        </row>
        <row r="62">
          <cell r="C62">
            <v>6</v>
          </cell>
        </row>
        <row r="63">
          <cell r="C63">
            <v>1</v>
          </cell>
        </row>
      </sheetData>
      <sheetData sheetId="107">
        <row r="17">
          <cell r="C17">
            <v>163</v>
          </cell>
        </row>
        <row r="34">
          <cell r="C34">
            <v>181</v>
          </cell>
        </row>
        <row r="35">
          <cell r="C35">
            <v>64</v>
          </cell>
        </row>
        <row r="36">
          <cell r="C36">
            <v>73</v>
          </cell>
        </row>
        <row r="37">
          <cell r="C37">
            <v>23</v>
          </cell>
        </row>
        <row r="60">
          <cell r="C60">
            <v>141</v>
          </cell>
        </row>
        <row r="61">
          <cell r="C61">
            <v>7</v>
          </cell>
        </row>
        <row r="62">
          <cell r="C62">
            <v>10</v>
          </cell>
        </row>
        <row r="63">
          <cell r="C63">
            <v>3</v>
          </cell>
        </row>
      </sheetData>
      <sheetData sheetId="108">
        <row r="17">
          <cell r="C17">
            <v>86</v>
          </cell>
        </row>
        <row r="34">
          <cell r="C34">
            <v>95</v>
          </cell>
        </row>
        <row r="35">
          <cell r="C35">
            <v>16</v>
          </cell>
        </row>
        <row r="36">
          <cell r="C36">
            <v>34</v>
          </cell>
        </row>
        <row r="37">
          <cell r="C37">
            <v>9</v>
          </cell>
        </row>
        <row r="60">
          <cell r="C60">
            <v>77</v>
          </cell>
        </row>
        <row r="61">
          <cell r="C61">
            <v>4</v>
          </cell>
        </row>
        <row r="62">
          <cell r="C62">
            <v>1</v>
          </cell>
        </row>
        <row r="63">
          <cell r="C63">
            <v>2</v>
          </cell>
        </row>
      </sheetData>
      <sheetData sheetId="109">
        <row r="17">
          <cell r="C17">
            <v>121</v>
          </cell>
        </row>
        <row r="34">
          <cell r="C34">
            <v>89</v>
          </cell>
        </row>
        <row r="35">
          <cell r="C35">
            <v>0</v>
          </cell>
        </row>
        <row r="36">
          <cell r="C36">
            <v>50</v>
          </cell>
        </row>
        <row r="37">
          <cell r="C37">
            <v>7</v>
          </cell>
        </row>
        <row r="60">
          <cell r="C60">
            <v>97</v>
          </cell>
        </row>
        <row r="61">
          <cell r="C61">
            <v>13</v>
          </cell>
        </row>
        <row r="62">
          <cell r="C62">
            <v>3</v>
          </cell>
        </row>
        <row r="63">
          <cell r="C63">
            <v>3</v>
          </cell>
        </row>
      </sheetData>
      <sheetData sheetId="110">
        <row r="17">
          <cell r="C17">
            <v>346</v>
          </cell>
        </row>
        <row r="34">
          <cell r="C34">
            <v>355</v>
          </cell>
        </row>
        <row r="35">
          <cell r="C35">
            <v>61</v>
          </cell>
        </row>
        <row r="36">
          <cell r="C36">
            <v>146</v>
          </cell>
        </row>
        <row r="37">
          <cell r="C37">
            <v>16</v>
          </cell>
        </row>
        <row r="60">
          <cell r="C60">
            <v>270</v>
          </cell>
        </row>
        <row r="61">
          <cell r="C61">
            <v>17</v>
          </cell>
        </row>
        <row r="62">
          <cell r="C62">
            <v>18</v>
          </cell>
        </row>
        <row r="63">
          <cell r="C63">
            <v>8</v>
          </cell>
        </row>
      </sheetData>
      <sheetData sheetId="111"/>
      <sheetData sheetId="112">
        <row r="17">
          <cell r="C17">
            <v>856</v>
          </cell>
        </row>
        <row r="34">
          <cell r="C34">
            <v>769</v>
          </cell>
        </row>
        <row r="35">
          <cell r="C35">
            <v>81</v>
          </cell>
        </row>
        <row r="36">
          <cell r="C36">
            <v>213</v>
          </cell>
        </row>
        <row r="37">
          <cell r="C37">
            <v>37</v>
          </cell>
        </row>
        <row r="60">
          <cell r="C60">
            <v>601</v>
          </cell>
        </row>
        <row r="61">
          <cell r="C61">
            <v>36</v>
          </cell>
        </row>
        <row r="62">
          <cell r="C62">
            <v>32</v>
          </cell>
        </row>
        <row r="63">
          <cell r="C63">
            <v>8</v>
          </cell>
        </row>
      </sheetData>
      <sheetData sheetId="113">
        <row r="17">
          <cell r="C17">
            <v>270</v>
          </cell>
        </row>
        <row r="34">
          <cell r="C34">
            <v>183</v>
          </cell>
        </row>
        <row r="35">
          <cell r="C35">
            <v>31</v>
          </cell>
        </row>
        <row r="36">
          <cell r="C36">
            <v>95</v>
          </cell>
        </row>
        <row r="37">
          <cell r="C37">
            <v>17</v>
          </cell>
        </row>
        <row r="60">
          <cell r="C60">
            <v>221</v>
          </cell>
        </row>
        <row r="61">
          <cell r="C61">
            <v>5</v>
          </cell>
        </row>
        <row r="62">
          <cell r="C62">
            <v>3</v>
          </cell>
        </row>
        <row r="63">
          <cell r="C63">
            <v>14</v>
          </cell>
        </row>
      </sheetData>
      <sheetData sheetId="114">
        <row r="17">
          <cell r="C17">
            <v>66</v>
          </cell>
        </row>
        <row r="34">
          <cell r="C34">
            <v>78</v>
          </cell>
        </row>
        <row r="35">
          <cell r="C35">
            <v>11</v>
          </cell>
        </row>
        <row r="36">
          <cell r="C36">
            <v>22</v>
          </cell>
        </row>
        <row r="37">
          <cell r="C37">
            <v>3</v>
          </cell>
        </row>
        <row r="60">
          <cell r="C60">
            <v>54</v>
          </cell>
        </row>
        <row r="61">
          <cell r="C61">
            <v>0</v>
          </cell>
        </row>
        <row r="62">
          <cell r="C62">
            <v>6</v>
          </cell>
        </row>
        <row r="63">
          <cell r="C63">
            <v>0</v>
          </cell>
        </row>
      </sheetData>
      <sheetData sheetId="115">
        <row r="17">
          <cell r="C17">
            <v>107</v>
          </cell>
        </row>
        <row r="34">
          <cell r="C34">
            <v>139</v>
          </cell>
        </row>
        <row r="35">
          <cell r="C35">
            <v>21</v>
          </cell>
        </row>
        <row r="36">
          <cell r="C36">
            <v>38</v>
          </cell>
        </row>
        <row r="37">
          <cell r="C37">
            <v>7</v>
          </cell>
        </row>
        <row r="60">
          <cell r="C60">
            <v>81</v>
          </cell>
        </row>
        <row r="61">
          <cell r="C61">
            <v>5</v>
          </cell>
        </row>
        <row r="62">
          <cell r="C62">
            <v>1</v>
          </cell>
        </row>
        <row r="63">
          <cell r="C63">
            <v>0</v>
          </cell>
        </row>
      </sheetData>
      <sheetData sheetId="116">
        <row r="17">
          <cell r="C17">
            <v>130</v>
          </cell>
        </row>
        <row r="34">
          <cell r="C34">
            <v>130</v>
          </cell>
        </row>
        <row r="35">
          <cell r="C35">
            <v>14</v>
          </cell>
        </row>
        <row r="36">
          <cell r="C36">
            <v>46</v>
          </cell>
        </row>
        <row r="37">
          <cell r="C37">
            <v>5</v>
          </cell>
        </row>
        <row r="60">
          <cell r="C60">
            <v>98</v>
          </cell>
        </row>
        <row r="61">
          <cell r="C61">
            <v>2</v>
          </cell>
        </row>
        <row r="62">
          <cell r="C62">
            <v>0</v>
          </cell>
        </row>
        <row r="63">
          <cell r="C63">
            <v>1</v>
          </cell>
        </row>
      </sheetData>
      <sheetData sheetId="117">
        <row r="17">
          <cell r="C17">
            <v>38</v>
          </cell>
        </row>
        <row r="34">
          <cell r="C34">
            <v>29</v>
          </cell>
        </row>
        <row r="35">
          <cell r="C35">
            <v>6</v>
          </cell>
        </row>
        <row r="36">
          <cell r="C36">
            <v>10</v>
          </cell>
        </row>
        <row r="37">
          <cell r="C37">
            <v>3</v>
          </cell>
        </row>
        <row r="60">
          <cell r="C60">
            <v>23</v>
          </cell>
        </row>
        <row r="61">
          <cell r="C61">
            <v>4</v>
          </cell>
        </row>
        <row r="62">
          <cell r="C62">
            <v>0</v>
          </cell>
        </row>
        <row r="63">
          <cell r="C63">
            <v>0</v>
          </cell>
        </row>
      </sheetData>
      <sheetData sheetId="118"/>
      <sheetData sheetId="119">
        <row r="17">
          <cell r="C17">
            <v>392</v>
          </cell>
        </row>
        <row r="34">
          <cell r="C34">
            <v>572</v>
          </cell>
        </row>
        <row r="35">
          <cell r="C35">
            <v>139</v>
          </cell>
        </row>
        <row r="36">
          <cell r="C36">
            <v>112</v>
          </cell>
        </row>
        <row r="37">
          <cell r="C37">
            <v>30</v>
          </cell>
        </row>
        <row r="60">
          <cell r="C60">
            <v>247</v>
          </cell>
        </row>
        <row r="61">
          <cell r="C61">
            <v>11</v>
          </cell>
        </row>
        <row r="62">
          <cell r="C62">
            <v>16</v>
          </cell>
        </row>
        <row r="63">
          <cell r="C63">
            <v>25</v>
          </cell>
        </row>
      </sheetData>
      <sheetData sheetId="120">
        <row r="17">
          <cell r="C17">
            <v>24</v>
          </cell>
        </row>
        <row r="34">
          <cell r="C34">
            <v>43</v>
          </cell>
        </row>
        <row r="35">
          <cell r="C35">
            <v>6</v>
          </cell>
        </row>
        <row r="36">
          <cell r="C36">
            <v>7</v>
          </cell>
        </row>
        <row r="37">
          <cell r="C37">
            <v>2</v>
          </cell>
        </row>
        <row r="60">
          <cell r="C60">
            <v>17</v>
          </cell>
        </row>
        <row r="61">
          <cell r="C61">
            <v>3</v>
          </cell>
        </row>
        <row r="62">
          <cell r="C62">
            <v>2</v>
          </cell>
        </row>
        <row r="63">
          <cell r="C63">
            <v>2</v>
          </cell>
        </row>
      </sheetData>
      <sheetData sheetId="121">
        <row r="17">
          <cell r="C17">
            <v>27</v>
          </cell>
        </row>
        <row r="34">
          <cell r="C34">
            <v>44</v>
          </cell>
        </row>
        <row r="35">
          <cell r="C35">
            <v>8</v>
          </cell>
        </row>
        <row r="36">
          <cell r="C36">
            <v>12</v>
          </cell>
        </row>
        <row r="37">
          <cell r="C37">
            <v>2</v>
          </cell>
        </row>
        <row r="60">
          <cell r="C60">
            <v>22</v>
          </cell>
        </row>
        <row r="61">
          <cell r="C61">
            <v>1</v>
          </cell>
        </row>
        <row r="62">
          <cell r="C62">
            <v>3</v>
          </cell>
        </row>
        <row r="63">
          <cell r="C63">
            <v>1</v>
          </cell>
        </row>
      </sheetData>
      <sheetData sheetId="122"/>
      <sheetData sheetId="123">
        <row r="17">
          <cell r="C17">
            <v>986</v>
          </cell>
        </row>
        <row r="34">
          <cell r="C34">
            <v>1109</v>
          </cell>
        </row>
        <row r="35">
          <cell r="C35">
            <v>177</v>
          </cell>
        </row>
        <row r="36">
          <cell r="C36">
            <v>236</v>
          </cell>
        </row>
        <row r="37">
          <cell r="C37">
            <v>54</v>
          </cell>
        </row>
        <row r="60">
          <cell r="C60">
            <v>610</v>
          </cell>
        </row>
        <row r="61">
          <cell r="C61">
            <v>48</v>
          </cell>
        </row>
        <row r="62">
          <cell r="C62">
            <v>104</v>
          </cell>
        </row>
        <row r="63">
          <cell r="C63">
            <v>29</v>
          </cell>
        </row>
      </sheetData>
      <sheetData sheetId="124">
        <row r="17">
          <cell r="C17">
            <v>312</v>
          </cell>
        </row>
        <row r="34">
          <cell r="C34">
            <v>369</v>
          </cell>
        </row>
        <row r="35">
          <cell r="C35">
            <v>39</v>
          </cell>
        </row>
        <row r="36">
          <cell r="C36">
            <v>100</v>
          </cell>
        </row>
        <row r="37">
          <cell r="C37">
            <v>13</v>
          </cell>
        </row>
        <row r="60">
          <cell r="C60">
            <v>229</v>
          </cell>
        </row>
        <row r="61">
          <cell r="C61">
            <v>22</v>
          </cell>
        </row>
        <row r="62">
          <cell r="C62">
            <v>32</v>
          </cell>
        </row>
        <row r="63">
          <cell r="C63">
            <v>9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a a diciembre 2022"/>
      <sheetName val="META 7"/>
      <sheetName val="Fechas"/>
      <sheetName val="Horarios"/>
      <sheetName val="Rutas REM"/>
      <sheetName val="Cód REM"/>
    </sheetNames>
    <sheetDataSet>
      <sheetData sheetId="0"/>
      <sheetData sheetId="1">
        <row r="2">
          <cell r="E2" t="str">
            <v xml:space="preserve">Meta 1: </v>
          </cell>
          <cell r="BH2" t="str">
            <v xml:space="preserve">Meta 8: </v>
          </cell>
          <cell r="BI2" t="str">
            <v>Diseño, ejecución y evaluación de un plan de participación social elaborado por el equipo de salud, del establecimiento o comuna, en conjunto con su comunidad, en reciprocidad con el modelo de salud familiar</v>
          </cell>
        </row>
        <row r="3">
          <cell r="BO3" t="str">
            <v>SUMA % CUMPLIMIMIENTO DE METAS</v>
          </cell>
        </row>
        <row r="4">
          <cell r="B4" t="str">
            <v>CESFAM SAN RAMON NONATO</v>
          </cell>
          <cell r="BO4">
            <v>96.555464222217765</v>
          </cell>
          <cell r="BQ4">
            <v>90</v>
          </cell>
        </row>
        <row r="5">
          <cell r="B5" t="str">
            <v>CESFAM ULTRAESTACION</v>
          </cell>
          <cell r="BO5">
            <v>96.287874284128961</v>
          </cell>
          <cell r="BQ5">
            <v>90</v>
          </cell>
        </row>
        <row r="6">
          <cell r="B6" t="str">
            <v>CESFAM ISABEL RIQUELME</v>
          </cell>
          <cell r="BO6">
            <v>90.324595355425885</v>
          </cell>
          <cell r="BQ6">
            <v>90</v>
          </cell>
        </row>
        <row r="7">
          <cell r="B7" t="str">
            <v>CESFAM QUINCHAMALI</v>
          </cell>
          <cell r="BO7">
            <v>97.663728825662517</v>
          </cell>
          <cell r="BQ7">
            <v>90</v>
          </cell>
        </row>
        <row r="8">
          <cell r="B8" t="str">
            <v>CESFAM LOS VOLCANES</v>
          </cell>
          <cell r="BO8">
            <v>99.24347310126582</v>
          </cell>
          <cell r="BQ8">
            <v>90</v>
          </cell>
        </row>
        <row r="9">
          <cell r="B9" t="str">
            <v>CESFAM SOL DE ORIENTE</v>
          </cell>
          <cell r="BO9">
            <v>97.493771171019844</v>
          </cell>
          <cell r="BQ9">
            <v>90</v>
          </cell>
        </row>
        <row r="10">
          <cell r="B10" t="str">
            <v>CESFAM DR. FEDERICO PUGA B.</v>
          </cell>
          <cell r="BO10">
            <v>95.796393450927454</v>
          </cell>
          <cell r="BQ10">
            <v>90</v>
          </cell>
        </row>
        <row r="11">
          <cell r="B11" t="str">
            <v>CESFAM MICHELLE BACHELET</v>
          </cell>
          <cell r="BO11">
            <v>99.004108018175231</v>
          </cell>
          <cell r="BQ11">
            <v>90</v>
          </cell>
        </row>
        <row r="12">
          <cell r="B12" t="str">
            <v>DESAMU EL CARMEN</v>
          </cell>
          <cell r="BO12">
            <v>87.5</v>
          </cell>
          <cell r="BQ12">
            <v>90</v>
          </cell>
        </row>
        <row r="13">
          <cell r="B13" t="str">
            <v>CESFAM PEMUCO</v>
          </cell>
          <cell r="BO13">
            <v>98.921046974094381</v>
          </cell>
          <cell r="BQ13">
            <v>90</v>
          </cell>
        </row>
        <row r="14">
          <cell r="B14" t="str">
            <v>CESFAM PINTO</v>
          </cell>
          <cell r="BO14">
            <v>93.072162863703099</v>
          </cell>
          <cell r="BQ14">
            <v>90</v>
          </cell>
        </row>
        <row r="15">
          <cell r="B15" t="str">
            <v>CESFAM QUILLON</v>
          </cell>
          <cell r="BO15">
            <v>88.162164358679746</v>
          </cell>
          <cell r="BQ15">
            <v>90</v>
          </cell>
        </row>
        <row r="16">
          <cell r="B16" t="str">
            <v>CESFAM SAN IGNACIO</v>
          </cell>
          <cell r="BO16">
            <v>98.788236543367418</v>
          </cell>
          <cell r="BQ16">
            <v>90</v>
          </cell>
        </row>
        <row r="17">
          <cell r="B17" t="str">
            <v>CESFAM QUIRIQUINA</v>
          </cell>
          <cell r="BO17">
            <v>96.022859347550508</v>
          </cell>
          <cell r="BQ17">
            <v>90</v>
          </cell>
        </row>
        <row r="18">
          <cell r="B18" t="str">
            <v>CGR PUEBLO SECO</v>
          </cell>
          <cell r="BO18">
            <v>97.318753091088936</v>
          </cell>
          <cell r="BQ18">
            <v>90</v>
          </cell>
        </row>
        <row r="19">
          <cell r="B19" t="str">
            <v>CESFAM CAMPANARIO</v>
          </cell>
          <cell r="BO19">
            <v>81.942354091912989</v>
          </cell>
          <cell r="BQ19">
            <v>90</v>
          </cell>
        </row>
        <row r="20">
          <cell r="B20" t="str">
            <v>CESFAM SANTA CLARA</v>
          </cell>
          <cell r="BO20">
            <v>98.848985854624033</v>
          </cell>
          <cell r="BQ20">
            <v>90</v>
          </cell>
        </row>
        <row r="21">
          <cell r="BQ21">
            <v>90</v>
          </cell>
        </row>
        <row r="22">
          <cell r="B22" t="str">
            <v>CESFAM COBQUECURA</v>
          </cell>
          <cell r="BO22">
            <v>97.062079348211128</v>
          </cell>
          <cell r="BQ22">
            <v>90</v>
          </cell>
        </row>
        <row r="23">
          <cell r="B23" t="str">
            <v>DESAMU COELEMU</v>
          </cell>
          <cell r="BO23">
            <v>89.927888718211307</v>
          </cell>
          <cell r="BQ23">
            <v>90</v>
          </cell>
        </row>
        <row r="24">
          <cell r="B24" t="str">
            <v>CESFAM NINHUE</v>
          </cell>
          <cell r="BO24">
            <v>100</v>
          </cell>
          <cell r="BQ24">
            <v>90</v>
          </cell>
        </row>
        <row r="25">
          <cell r="B25" t="str">
            <v>CESFAM PORTEZUELO</v>
          </cell>
          <cell r="BO25">
            <v>98.962111472283638</v>
          </cell>
          <cell r="BQ25">
            <v>90</v>
          </cell>
        </row>
        <row r="26">
          <cell r="B26" t="str">
            <v>DESAMU QUIRIHUE</v>
          </cell>
          <cell r="BO26">
            <v>97.159565580618221</v>
          </cell>
          <cell r="BQ26">
            <v>90</v>
          </cell>
        </row>
        <row r="27">
          <cell r="B27" t="str">
            <v>CESFAM ÑIPAS</v>
          </cell>
          <cell r="BO27">
            <v>80.682704945626597</v>
          </cell>
          <cell r="BQ27">
            <v>90</v>
          </cell>
        </row>
        <row r="28">
          <cell r="B28" t="str">
            <v>CESFAM TREHUACO</v>
          </cell>
          <cell r="BO28">
            <v>93.058256020925143</v>
          </cell>
          <cell r="BQ28">
            <v>90</v>
          </cell>
        </row>
        <row r="29">
          <cell r="BQ29">
            <v>90</v>
          </cell>
        </row>
        <row r="30">
          <cell r="B30" t="str">
            <v>CESFAM COIHUECO</v>
          </cell>
          <cell r="BO30">
            <v>97.733918128654977</v>
          </cell>
          <cell r="BQ30">
            <v>90</v>
          </cell>
        </row>
        <row r="31">
          <cell r="B31" t="str">
            <v>CESFAM LUIS MONTECINOS</v>
          </cell>
          <cell r="BO31">
            <v>100</v>
          </cell>
          <cell r="BQ31">
            <v>90</v>
          </cell>
        </row>
        <row r="32">
          <cell r="B32" t="str">
            <v>CESFAM SAN GREGORIO</v>
          </cell>
          <cell r="BO32">
            <v>98.519853811264852</v>
          </cell>
          <cell r="BQ32">
            <v>90</v>
          </cell>
        </row>
        <row r="33">
          <cell r="B33" t="str">
            <v>CESFAM DR. JOSE DURAN TRUJILLO</v>
          </cell>
          <cell r="BO33">
            <v>93.443620513981656</v>
          </cell>
          <cell r="BQ33">
            <v>90</v>
          </cell>
        </row>
        <row r="34">
          <cell r="B34" t="str">
            <v>CESFAM TERESA BALDECCHI</v>
          </cell>
          <cell r="BO34">
            <v>89.11818515206852</v>
          </cell>
          <cell r="BQ34">
            <v>90</v>
          </cell>
        </row>
        <row r="35">
          <cell r="B35" t="str">
            <v>CESFAM SAN FABIAN</v>
          </cell>
          <cell r="BO35">
            <v>100</v>
          </cell>
          <cell r="BQ35">
            <v>90</v>
          </cell>
        </row>
        <row r="36">
          <cell r="B36" t="str">
            <v>CESFAM SAN NICOLAS</v>
          </cell>
          <cell r="BO36">
            <v>93.476751337157793</v>
          </cell>
          <cell r="BQ36">
            <v>90</v>
          </cell>
        </row>
        <row r="41">
          <cell r="BK41" t="str">
            <v>Logro</v>
          </cell>
          <cell r="BL41" t="str">
            <v>Meta</v>
          </cell>
        </row>
        <row r="42">
          <cell r="BH42" t="str">
            <v>DIGUILLÍN</v>
          </cell>
          <cell r="BK42">
            <v>1</v>
          </cell>
          <cell r="BL42">
            <v>0.8</v>
          </cell>
        </row>
        <row r="43">
          <cell r="BH43" t="str">
            <v>ITATA</v>
          </cell>
          <cell r="BK43">
            <v>1</v>
          </cell>
          <cell r="BL43">
            <v>0.8</v>
          </cell>
        </row>
        <row r="44">
          <cell r="BH44" t="str">
            <v>PUNILLA</v>
          </cell>
          <cell r="BK44">
            <v>1</v>
          </cell>
          <cell r="BL44">
            <v>0.8</v>
          </cell>
        </row>
      </sheetData>
      <sheetData sheetId="2"/>
      <sheetData sheetId="3"/>
      <sheetData sheetId="4"/>
      <sheetData sheetId="5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Maria Soledad Retamal Y. (DSS)" id="{93F79219-265D-4E36-A8D0-E45B68B8DC63}" userId="S-1-5-21-341566815-1598988111-4241626761-7892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I14" dT="2023-03-21T17:45:01.93" personId="{93F79219-265D-4E36-A8D0-E45B68B8DC63}" id="{428AFFB1-E88A-4D4D-A7BA-3A3E649CD1C9}">
    <text>Modificado en resolución de marzo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Relationship Id="rId4" Type="http://schemas.microsoft.com/office/2017/10/relationships/threadedComment" Target="../threadedComments/threadedComment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5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60E89-6818-45F5-B253-1FDCCADC97E0}">
  <dimension ref="H11"/>
  <sheetViews>
    <sheetView showGridLines="0" topLeftCell="D1" zoomScale="80" zoomScaleNormal="80" workbookViewId="0">
      <selection activeCell="D3" sqref="D3"/>
    </sheetView>
  </sheetViews>
  <sheetFormatPr baseColWidth="10" defaultRowHeight="15" x14ac:dyDescent="0.25"/>
  <sheetData>
    <row r="11" spans="8:8" x14ac:dyDescent="0.25">
      <c r="H11" t="s">
        <v>123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16BF2-7E57-4F26-AA32-43B335A38F70}">
  <dimension ref="A1:J38"/>
  <sheetViews>
    <sheetView showGridLines="0" topLeftCell="A4" zoomScale="80" zoomScaleNormal="80" workbookViewId="0">
      <selection activeCell="N10" sqref="N10"/>
    </sheetView>
  </sheetViews>
  <sheetFormatPr baseColWidth="10" defaultColWidth="11.42578125" defaultRowHeight="15" x14ac:dyDescent="0.25"/>
  <cols>
    <col min="1" max="1" width="29.5703125" style="123" bestFit="1" customWidth="1"/>
    <col min="2" max="2" width="12.5703125" style="123" bestFit="1" customWidth="1"/>
    <col min="3" max="3" width="28" style="123" customWidth="1"/>
    <col min="4" max="4" width="21.42578125" style="123" customWidth="1"/>
    <col min="5" max="7" width="11.42578125" style="123"/>
    <col min="8" max="8" width="25.5703125" style="123" customWidth="1"/>
    <col min="9" max="9" width="21.7109375" style="123" customWidth="1"/>
    <col min="10" max="10" width="16.5703125" customWidth="1"/>
  </cols>
  <sheetData>
    <row r="1" spans="1:10" hidden="1" x14ac:dyDescent="0.25"/>
    <row r="2" spans="1:10" ht="15.75" hidden="1" thickBot="1" x14ac:dyDescent="0.3">
      <c r="B2" s="245" t="s">
        <v>3</v>
      </c>
      <c r="C2" s="246">
        <v>0.9</v>
      </c>
    </row>
    <row r="3" spans="1:10" hidden="1" x14ac:dyDescent="0.25"/>
    <row r="4" spans="1:10" ht="93.75" customHeight="1" x14ac:dyDescent="0.25">
      <c r="A4" s="247" t="s">
        <v>107</v>
      </c>
      <c r="B4" s="248" t="s">
        <v>45</v>
      </c>
      <c r="C4" s="248" t="s">
        <v>348</v>
      </c>
      <c r="D4" s="248" t="s">
        <v>349</v>
      </c>
      <c r="E4" s="247" t="s">
        <v>247</v>
      </c>
      <c r="F4" s="248" t="s">
        <v>350</v>
      </c>
      <c r="G4" s="248" t="s">
        <v>351</v>
      </c>
      <c r="H4" s="248" t="s">
        <v>352</v>
      </c>
      <c r="I4" s="248" t="s">
        <v>353</v>
      </c>
      <c r="J4" s="465" t="s">
        <v>144</v>
      </c>
    </row>
    <row r="5" spans="1:10" x14ac:dyDescent="0.25">
      <c r="A5" s="469" t="s">
        <v>6</v>
      </c>
      <c r="B5" s="470">
        <v>0.65600000000000003</v>
      </c>
      <c r="C5" s="471">
        <v>2026</v>
      </c>
      <c r="D5" s="471">
        <v>2599</v>
      </c>
      <c r="E5" s="470">
        <f>C5/D5</f>
        <v>0.77953058868795688</v>
      </c>
      <c r="F5" s="473">
        <f t="shared" ref="F5:F37" si="0">$C$2-E5</f>
        <v>0.12046941131204314</v>
      </c>
      <c r="G5" s="474">
        <f>((C5*F5)/E5)*0.5</f>
        <v>156.55000000000007</v>
      </c>
      <c r="H5" s="474">
        <f>G5+C5</f>
        <v>2182.5500000000002</v>
      </c>
      <c r="I5" s="475">
        <v>2599</v>
      </c>
      <c r="J5" s="582">
        <f t="shared" ref="J5:J16" si="1">H5/I5</f>
        <v>0.83976529434397851</v>
      </c>
    </row>
    <row r="6" spans="1:10" x14ac:dyDescent="0.25">
      <c r="A6" s="469" t="s">
        <v>8</v>
      </c>
      <c r="B6" s="470">
        <v>0.47499999999999998</v>
      </c>
      <c r="C6" s="471">
        <v>699</v>
      </c>
      <c r="D6" s="471">
        <v>1385</v>
      </c>
      <c r="E6" s="470">
        <f t="shared" ref="E6:E37" si="2">C6/D6</f>
        <v>0.50469314079422378</v>
      </c>
      <c r="F6" s="473">
        <f t="shared" si="0"/>
        <v>0.39530685920577624</v>
      </c>
      <c r="G6" s="474">
        <f t="shared" ref="G6:G37" si="3">((C6*F6)/E6)*0.5</f>
        <v>273.75000000000006</v>
      </c>
      <c r="H6" s="474">
        <f t="shared" ref="H6:H37" si="4">G6+C6</f>
        <v>972.75</v>
      </c>
      <c r="I6" s="475">
        <v>1385</v>
      </c>
      <c r="J6" s="582">
        <f t="shared" si="1"/>
        <v>0.7023465703971119</v>
      </c>
    </row>
    <row r="7" spans="1:10" x14ac:dyDescent="0.25">
      <c r="A7" s="469" t="s">
        <v>9</v>
      </c>
      <c r="B7" s="470">
        <v>0.49399999999999999</v>
      </c>
      <c r="C7" s="471">
        <v>572</v>
      </c>
      <c r="D7" s="471">
        <v>1896</v>
      </c>
      <c r="E7" s="470">
        <f t="shared" si="2"/>
        <v>0.30168776371308015</v>
      </c>
      <c r="F7" s="473">
        <f t="shared" si="0"/>
        <v>0.59831223628691987</v>
      </c>
      <c r="G7" s="474">
        <f t="shared" si="3"/>
        <v>567.20000000000005</v>
      </c>
      <c r="H7" s="474">
        <f t="shared" si="4"/>
        <v>1139.2</v>
      </c>
      <c r="I7" s="475">
        <v>1896</v>
      </c>
      <c r="J7" s="582">
        <f t="shared" si="1"/>
        <v>0.60084388185654014</v>
      </c>
    </row>
    <row r="8" spans="1:10" x14ac:dyDescent="0.25">
      <c r="A8" s="469" t="s">
        <v>10</v>
      </c>
      <c r="B8" s="470">
        <v>0.63100000000000001</v>
      </c>
      <c r="C8" s="471">
        <v>334</v>
      </c>
      <c r="D8" s="471">
        <v>408</v>
      </c>
      <c r="E8" s="470">
        <f t="shared" si="2"/>
        <v>0.81862745098039214</v>
      </c>
      <c r="F8" s="473">
        <f t="shared" si="0"/>
        <v>8.1372549019607887E-2</v>
      </c>
      <c r="G8" s="474">
        <f t="shared" si="3"/>
        <v>16.600000000000009</v>
      </c>
      <c r="H8" s="474">
        <f t="shared" si="4"/>
        <v>350.6</v>
      </c>
      <c r="I8" s="475">
        <v>408</v>
      </c>
      <c r="J8" s="582">
        <f t="shared" si="1"/>
        <v>0.85931372549019613</v>
      </c>
    </row>
    <row r="9" spans="1:10" x14ac:dyDescent="0.25">
      <c r="A9" s="469" t="s">
        <v>11</v>
      </c>
      <c r="B9" s="470">
        <v>0.70699999999999996</v>
      </c>
      <c r="C9" s="471">
        <v>1208</v>
      </c>
      <c r="D9" s="471">
        <v>1587</v>
      </c>
      <c r="E9" s="470">
        <f t="shared" si="2"/>
        <v>0.76118462507876494</v>
      </c>
      <c r="F9" s="473">
        <f t="shared" si="0"/>
        <v>0.13881537492123508</v>
      </c>
      <c r="G9" s="474">
        <f t="shared" si="3"/>
        <v>110.15000000000003</v>
      </c>
      <c r="H9" s="474">
        <f t="shared" si="4"/>
        <v>1318.15</v>
      </c>
      <c r="I9" s="475">
        <v>1587</v>
      </c>
      <c r="J9" s="582">
        <f t="shared" si="1"/>
        <v>0.83059231253938259</v>
      </c>
    </row>
    <row r="10" spans="1:10" x14ac:dyDescent="0.25">
      <c r="A10" s="469" t="s">
        <v>12</v>
      </c>
      <c r="B10" s="470">
        <v>0.67200000000000004</v>
      </c>
      <c r="C10" s="471">
        <v>748</v>
      </c>
      <c r="D10" s="471">
        <v>903</v>
      </c>
      <c r="E10" s="470">
        <f t="shared" si="2"/>
        <v>0.82834994462901435</v>
      </c>
      <c r="F10" s="473">
        <f t="shared" si="0"/>
        <v>7.1650055370985677E-2</v>
      </c>
      <c r="G10" s="474">
        <f t="shared" si="3"/>
        <v>32.350000000000037</v>
      </c>
      <c r="H10" s="474">
        <f t="shared" si="4"/>
        <v>780.35</v>
      </c>
      <c r="I10" s="475">
        <v>903</v>
      </c>
      <c r="J10" s="582">
        <f t="shared" si="1"/>
        <v>0.86417497231450724</v>
      </c>
    </row>
    <row r="11" spans="1:10" x14ac:dyDescent="0.25">
      <c r="A11" s="469" t="s">
        <v>13</v>
      </c>
      <c r="B11" s="470">
        <v>0.77100000000000002</v>
      </c>
      <c r="C11" s="471">
        <v>1306</v>
      </c>
      <c r="D11" s="471">
        <v>1498</v>
      </c>
      <c r="E11" s="470">
        <f t="shared" si="2"/>
        <v>0.8718291054739653</v>
      </c>
      <c r="F11" s="473">
        <f t="shared" si="0"/>
        <v>2.8170894526034718E-2</v>
      </c>
      <c r="G11" s="474">
        <f t="shared" si="3"/>
        <v>21.100000000000005</v>
      </c>
      <c r="H11" s="474">
        <f t="shared" si="4"/>
        <v>1327.1</v>
      </c>
      <c r="I11" s="475">
        <v>1498</v>
      </c>
      <c r="J11" s="582">
        <f t="shared" si="1"/>
        <v>0.88591455273698261</v>
      </c>
    </row>
    <row r="12" spans="1:10" x14ac:dyDescent="0.25">
      <c r="A12" s="469" t="s">
        <v>14</v>
      </c>
      <c r="B12" s="470">
        <v>0.89400000000000002</v>
      </c>
      <c r="C12" s="471">
        <v>682</v>
      </c>
      <c r="D12" s="471">
        <v>777</v>
      </c>
      <c r="E12" s="470">
        <f t="shared" si="2"/>
        <v>0.87773487773487768</v>
      </c>
      <c r="F12" s="473">
        <f t="shared" si="0"/>
        <v>2.2265122265122339E-2</v>
      </c>
      <c r="G12" s="474">
        <f t="shared" si="3"/>
        <v>8.6500000000000288</v>
      </c>
      <c r="H12" s="474">
        <f t="shared" si="4"/>
        <v>690.65</v>
      </c>
      <c r="I12" s="475">
        <v>777</v>
      </c>
      <c r="J12" s="582">
        <f t="shared" si="1"/>
        <v>0.8888674388674388</v>
      </c>
    </row>
    <row r="13" spans="1:10" x14ac:dyDescent="0.25">
      <c r="A13" s="469" t="s">
        <v>15</v>
      </c>
      <c r="B13" s="470">
        <v>0.82799999999999996</v>
      </c>
      <c r="C13" s="471">
        <v>311</v>
      </c>
      <c r="D13" s="471">
        <v>346</v>
      </c>
      <c r="E13" s="470">
        <f t="shared" si="2"/>
        <v>0.89884393063583812</v>
      </c>
      <c r="F13" s="473">
        <f t="shared" si="0"/>
        <v>1.1560693641619046E-3</v>
      </c>
      <c r="G13" s="474">
        <f t="shared" si="3"/>
        <v>0.2000000000000095</v>
      </c>
      <c r="H13" s="474">
        <f t="shared" si="4"/>
        <v>311.2</v>
      </c>
      <c r="I13" s="475">
        <v>346</v>
      </c>
      <c r="J13" s="582">
        <f t="shared" si="1"/>
        <v>0.89942196531791907</v>
      </c>
    </row>
    <row r="14" spans="1:10" x14ac:dyDescent="0.25">
      <c r="A14" s="469" t="s">
        <v>16</v>
      </c>
      <c r="B14" s="470">
        <v>0.76600000000000001</v>
      </c>
      <c r="C14" s="471">
        <v>618</v>
      </c>
      <c r="D14" s="594">
        <v>763</v>
      </c>
      <c r="E14" s="470">
        <f t="shared" si="2"/>
        <v>0.80996068152031453</v>
      </c>
      <c r="F14" s="473">
        <f t="shared" si="0"/>
        <v>9.0039318479685493E-2</v>
      </c>
      <c r="G14" s="474">
        <f t="shared" si="3"/>
        <v>34.350000000000016</v>
      </c>
      <c r="H14" s="474">
        <f>G14+C14</f>
        <v>652.35</v>
      </c>
      <c r="I14" s="593">
        <v>763</v>
      </c>
      <c r="J14" s="582">
        <f>H14/I14</f>
        <v>0.85498034076015728</v>
      </c>
    </row>
    <row r="15" spans="1:10" x14ac:dyDescent="0.25">
      <c r="A15" s="469" t="s">
        <v>17</v>
      </c>
      <c r="B15" s="470">
        <v>0.78200000000000003</v>
      </c>
      <c r="C15" s="471">
        <v>855</v>
      </c>
      <c r="D15" s="471">
        <v>1192</v>
      </c>
      <c r="E15" s="470">
        <f t="shared" si="2"/>
        <v>0.71728187919463082</v>
      </c>
      <c r="F15" s="473">
        <f t="shared" si="0"/>
        <v>0.1827181208053692</v>
      </c>
      <c r="G15" s="474">
        <f t="shared" si="3"/>
        <v>108.90000000000005</v>
      </c>
      <c r="H15" s="474">
        <f t="shared" si="4"/>
        <v>963.90000000000009</v>
      </c>
      <c r="I15" s="475">
        <v>1192</v>
      </c>
      <c r="J15" s="582">
        <f t="shared" si="1"/>
        <v>0.80864093959731553</v>
      </c>
    </row>
    <row r="16" spans="1:10" x14ac:dyDescent="0.25">
      <c r="A16" s="469" t="s">
        <v>18</v>
      </c>
      <c r="B16" s="470">
        <v>0.84099999999999997</v>
      </c>
      <c r="C16" s="471">
        <v>1439</v>
      </c>
      <c r="D16" s="471">
        <v>1942</v>
      </c>
      <c r="E16" s="470">
        <f t="shared" si="2"/>
        <v>0.74098867147270853</v>
      </c>
      <c r="F16" s="473">
        <f t="shared" si="0"/>
        <v>0.1590113285272915</v>
      </c>
      <c r="G16" s="474">
        <f t="shared" si="3"/>
        <v>154.40000000000003</v>
      </c>
      <c r="H16" s="474">
        <f t="shared" si="4"/>
        <v>1593.4</v>
      </c>
      <c r="I16" s="475">
        <v>1942</v>
      </c>
      <c r="J16" s="582">
        <f t="shared" si="1"/>
        <v>0.82049433573635433</v>
      </c>
    </row>
    <row r="17" spans="1:10" x14ac:dyDescent="0.25">
      <c r="A17" s="469" t="s">
        <v>19</v>
      </c>
      <c r="B17" s="470">
        <v>0.71099999999999997</v>
      </c>
      <c r="C17" s="471">
        <v>827</v>
      </c>
      <c r="D17" s="471">
        <v>844</v>
      </c>
      <c r="E17" s="470">
        <f t="shared" si="2"/>
        <v>0.97985781990521326</v>
      </c>
      <c r="F17" s="473">
        <f t="shared" si="0"/>
        <v>-7.9857819905213234E-2</v>
      </c>
      <c r="G17" s="474">
        <f t="shared" si="3"/>
        <v>-33.699999999999989</v>
      </c>
      <c r="H17" s="474">
        <f>C17</f>
        <v>827</v>
      </c>
      <c r="I17" s="475">
        <v>844</v>
      </c>
      <c r="J17" s="582">
        <v>0.9</v>
      </c>
    </row>
    <row r="18" spans="1:10" x14ac:dyDescent="0.25">
      <c r="A18" s="469" t="s">
        <v>20</v>
      </c>
      <c r="B18" s="470">
        <v>0.85499999999999998</v>
      </c>
      <c r="C18" s="471">
        <v>432</v>
      </c>
      <c r="D18" s="471">
        <v>527</v>
      </c>
      <c r="E18" s="470">
        <f t="shared" si="2"/>
        <v>0.81973434535104361</v>
      </c>
      <c r="F18" s="473">
        <f t="shared" si="0"/>
        <v>8.0265654648956408E-2</v>
      </c>
      <c r="G18" s="474">
        <f t="shared" si="3"/>
        <v>21.150000000000016</v>
      </c>
      <c r="H18" s="474">
        <f t="shared" si="4"/>
        <v>453.15000000000003</v>
      </c>
      <c r="I18" s="475">
        <v>527</v>
      </c>
      <c r="J18" s="582">
        <f>H18/I18</f>
        <v>0.85986717267552193</v>
      </c>
    </row>
    <row r="19" spans="1:10" x14ac:dyDescent="0.25">
      <c r="A19" s="469" t="s">
        <v>21</v>
      </c>
      <c r="B19" s="470">
        <v>0.77500000000000002</v>
      </c>
      <c r="C19" s="471">
        <v>368</v>
      </c>
      <c r="D19" s="471">
        <v>425</v>
      </c>
      <c r="E19" s="470">
        <f t="shared" si="2"/>
        <v>0.86588235294117644</v>
      </c>
      <c r="F19" s="473">
        <f t="shared" si="0"/>
        <v>3.4117647058823586E-2</v>
      </c>
      <c r="G19" s="474">
        <f t="shared" si="3"/>
        <v>7.2500000000000124</v>
      </c>
      <c r="H19" s="474">
        <f t="shared" si="4"/>
        <v>375.25</v>
      </c>
      <c r="I19" s="475">
        <v>425</v>
      </c>
      <c r="J19" s="582">
        <f>H19/I19</f>
        <v>0.88294117647058823</v>
      </c>
    </row>
    <row r="20" spans="1:10" x14ac:dyDescent="0.25">
      <c r="A20" s="469" t="s">
        <v>22</v>
      </c>
      <c r="B20" s="470">
        <v>0.77500000000000002</v>
      </c>
      <c r="C20" s="471">
        <v>373</v>
      </c>
      <c r="D20" s="471">
        <v>421</v>
      </c>
      <c r="E20" s="470">
        <f t="shared" si="2"/>
        <v>0.88598574821852727</v>
      </c>
      <c r="F20" s="473">
        <f t="shared" si="0"/>
        <v>1.4014251781472753E-2</v>
      </c>
      <c r="G20" s="474">
        <f t="shared" si="3"/>
        <v>2.9500000000000144</v>
      </c>
      <c r="H20" s="474">
        <f t="shared" si="4"/>
        <v>375.95</v>
      </c>
      <c r="I20" s="475">
        <v>421</v>
      </c>
      <c r="J20" s="582">
        <f>H20/I20</f>
        <v>0.89299287410926365</v>
      </c>
    </row>
    <row r="21" spans="1:10" x14ac:dyDescent="0.25">
      <c r="A21" s="469" t="s">
        <v>23</v>
      </c>
      <c r="B21" s="470">
        <v>0.81100000000000005</v>
      </c>
      <c r="C21" s="471">
        <v>767</v>
      </c>
      <c r="D21" s="471">
        <v>838</v>
      </c>
      <c r="E21" s="470">
        <f t="shared" si="2"/>
        <v>0.91527446300715987</v>
      </c>
      <c r="F21" s="473">
        <f t="shared" si="0"/>
        <v>-1.5274463007159844E-2</v>
      </c>
      <c r="G21" s="474">
        <f t="shared" si="3"/>
        <v>-6.3999999999999755</v>
      </c>
      <c r="H21" s="474">
        <f>C21</f>
        <v>767</v>
      </c>
      <c r="I21" s="475">
        <v>838</v>
      </c>
      <c r="J21" s="582">
        <v>0.9</v>
      </c>
    </row>
    <row r="22" spans="1:10" x14ac:dyDescent="0.25">
      <c r="A22" s="389"/>
      <c r="B22" s="390" t="s">
        <v>7</v>
      </c>
      <c r="C22" s="390"/>
      <c r="D22" s="390"/>
      <c r="E22" s="391"/>
      <c r="F22" s="391"/>
      <c r="G22" s="392"/>
      <c r="H22" s="392"/>
      <c r="I22" s="390"/>
      <c r="J22" s="583"/>
    </row>
    <row r="23" spans="1:10" x14ac:dyDescent="0.25">
      <c r="A23" s="469" t="s">
        <v>24</v>
      </c>
      <c r="B23" s="470">
        <v>0.80300000000000005</v>
      </c>
      <c r="C23" s="471">
        <v>450</v>
      </c>
      <c r="D23" s="471">
        <v>481</v>
      </c>
      <c r="E23" s="470">
        <f t="shared" si="2"/>
        <v>0.9355509355509356</v>
      </c>
      <c r="F23" s="473">
        <f t="shared" si="0"/>
        <v>-3.5550935550935581E-2</v>
      </c>
      <c r="G23" s="474">
        <f t="shared" si="3"/>
        <v>-8.550000000000006</v>
      </c>
      <c r="H23" s="474">
        <f>C23</f>
        <v>450</v>
      </c>
      <c r="I23" s="475">
        <v>481</v>
      </c>
      <c r="J23" s="582">
        <v>0.9</v>
      </c>
    </row>
    <row r="24" spans="1:10" x14ac:dyDescent="0.25">
      <c r="A24" s="469" t="s">
        <v>26</v>
      </c>
      <c r="B24" s="470">
        <v>0.61</v>
      </c>
      <c r="C24" s="471">
        <v>218</v>
      </c>
      <c r="D24" s="471">
        <v>298</v>
      </c>
      <c r="E24" s="470">
        <f t="shared" si="2"/>
        <v>0.73154362416107388</v>
      </c>
      <c r="F24" s="473">
        <f t="shared" si="0"/>
        <v>0.16845637583892614</v>
      </c>
      <c r="G24" s="474">
        <f t="shared" si="3"/>
        <v>25.099999999999991</v>
      </c>
      <c r="H24" s="474">
        <f t="shared" si="4"/>
        <v>243.1</v>
      </c>
      <c r="I24" s="475">
        <v>298</v>
      </c>
      <c r="J24" s="582">
        <f>H24/I24</f>
        <v>0.81577181208053684</v>
      </c>
    </row>
    <row r="25" spans="1:10" x14ac:dyDescent="0.25">
      <c r="A25" s="469" t="s">
        <v>27</v>
      </c>
      <c r="B25" s="470">
        <v>0.872</v>
      </c>
      <c r="C25" s="471">
        <v>690</v>
      </c>
      <c r="D25" s="471">
        <v>754</v>
      </c>
      <c r="E25" s="470">
        <f t="shared" si="2"/>
        <v>0.91511936339522548</v>
      </c>
      <c r="F25" s="473">
        <f t="shared" si="0"/>
        <v>-1.511936339522546E-2</v>
      </c>
      <c r="G25" s="474">
        <f t="shared" si="3"/>
        <v>-5.6999999999999984</v>
      </c>
      <c r="H25" s="474">
        <f>C25</f>
        <v>690</v>
      </c>
      <c r="I25" s="475">
        <v>754</v>
      </c>
      <c r="J25" s="582">
        <v>0.9</v>
      </c>
    </row>
    <row r="26" spans="1:10" x14ac:dyDescent="0.25">
      <c r="A26" s="469" t="s">
        <v>28</v>
      </c>
      <c r="B26" s="470">
        <v>0.83399999999999996</v>
      </c>
      <c r="C26" s="471">
        <v>622</v>
      </c>
      <c r="D26" s="471">
        <v>718</v>
      </c>
      <c r="E26" s="470">
        <f t="shared" si="2"/>
        <v>0.86629526462395545</v>
      </c>
      <c r="F26" s="473">
        <f t="shared" si="0"/>
        <v>3.370473537604457E-2</v>
      </c>
      <c r="G26" s="474">
        <f t="shared" si="3"/>
        <v>12.100000000000001</v>
      </c>
      <c r="H26" s="474">
        <f t="shared" si="4"/>
        <v>634.1</v>
      </c>
      <c r="I26" s="475">
        <v>718</v>
      </c>
      <c r="J26" s="582">
        <f>H26/I26</f>
        <v>0.88314763231197779</v>
      </c>
    </row>
    <row r="27" spans="1:10" x14ac:dyDescent="0.25">
      <c r="A27" s="469" t="s">
        <v>29</v>
      </c>
      <c r="B27" s="470">
        <v>0.629</v>
      </c>
      <c r="C27" s="471">
        <v>40</v>
      </c>
      <c r="D27" s="471">
        <v>42</v>
      </c>
      <c r="E27" s="470">
        <f t="shared" si="2"/>
        <v>0.95238095238095233</v>
      </c>
      <c r="F27" s="473">
        <f t="shared" si="0"/>
        <v>-5.2380952380952306E-2</v>
      </c>
      <c r="G27" s="474">
        <f t="shared" si="3"/>
        <v>-1.0999999999999985</v>
      </c>
      <c r="H27" s="474">
        <f>C27</f>
        <v>40</v>
      </c>
      <c r="I27" s="475">
        <v>42</v>
      </c>
      <c r="J27" s="582">
        <v>0.9</v>
      </c>
    </row>
    <row r="28" spans="1:10" x14ac:dyDescent="0.25">
      <c r="A28" s="469" t="s">
        <v>30</v>
      </c>
      <c r="B28" s="470">
        <v>0.83799999999999997</v>
      </c>
      <c r="C28" s="471">
        <v>458</v>
      </c>
      <c r="D28" s="471">
        <v>574</v>
      </c>
      <c r="E28" s="470">
        <f t="shared" si="2"/>
        <v>0.79790940766550522</v>
      </c>
      <c r="F28" s="473">
        <f t="shared" si="0"/>
        <v>0.1020905923344948</v>
      </c>
      <c r="G28" s="474">
        <f t="shared" si="3"/>
        <v>29.300000000000008</v>
      </c>
      <c r="H28" s="474">
        <f t="shared" si="4"/>
        <v>487.3</v>
      </c>
      <c r="I28" s="475">
        <v>574</v>
      </c>
      <c r="J28" s="582">
        <f>H28/I28</f>
        <v>0.84895470383275262</v>
      </c>
    </row>
    <row r="29" spans="1:10" x14ac:dyDescent="0.25">
      <c r="A29" s="469" t="s">
        <v>31</v>
      </c>
      <c r="B29" s="470">
        <v>0.77400000000000002</v>
      </c>
      <c r="C29" s="471">
        <v>560</v>
      </c>
      <c r="D29" s="471">
        <v>636</v>
      </c>
      <c r="E29" s="470">
        <f t="shared" si="2"/>
        <v>0.88050314465408808</v>
      </c>
      <c r="F29" s="473">
        <f t="shared" si="0"/>
        <v>1.9496855345911945E-2</v>
      </c>
      <c r="G29" s="474">
        <f t="shared" si="3"/>
        <v>6.1999999999999984</v>
      </c>
      <c r="H29" s="474">
        <f t="shared" si="4"/>
        <v>566.20000000000005</v>
      </c>
      <c r="I29" s="475">
        <v>636</v>
      </c>
      <c r="J29" s="582">
        <f>H29/I29</f>
        <v>0.89025157232704411</v>
      </c>
    </row>
    <row r="30" spans="1:10" x14ac:dyDescent="0.25">
      <c r="A30" s="389"/>
      <c r="B30" s="389" t="s">
        <v>25</v>
      </c>
      <c r="C30" s="390"/>
      <c r="D30" s="390"/>
      <c r="E30" s="391"/>
      <c r="F30" s="391"/>
      <c r="G30" s="392"/>
      <c r="H30" s="392"/>
      <c r="I30" s="390"/>
      <c r="J30" s="583"/>
    </row>
    <row r="31" spans="1:10" x14ac:dyDescent="0.25">
      <c r="A31" s="469" t="s">
        <v>32</v>
      </c>
      <c r="B31" s="470">
        <v>0.81399999999999995</v>
      </c>
      <c r="C31" s="471">
        <v>1654</v>
      </c>
      <c r="D31" s="471">
        <v>1880</v>
      </c>
      <c r="E31" s="470">
        <f t="shared" si="2"/>
        <v>0.87978723404255321</v>
      </c>
      <c r="F31" s="473">
        <f t="shared" si="0"/>
        <v>2.021276595744681E-2</v>
      </c>
      <c r="G31" s="474">
        <f t="shared" si="3"/>
        <v>19.000000000000004</v>
      </c>
      <c r="H31" s="474">
        <f t="shared" si="4"/>
        <v>1673</v>
      </c>
      <c r="I31" s="475">
        <v>1880</v>
      </c>
      <c r="J31" s="582">
        <f>H31/I31</f>
        <v>0.88989361702127656</v>
      </c>
    </row>
    <row r="32" spans="1:10" x14ac:dyDescent="0.25">
      <c r="A32" s="469" t="s">
        <v>34</v>
      </c>
      <c r="B32" s="470">
        <v>0.85299999999999998</v>
      </c>
      <c r="C32" s="471">
        <v>313</v>
      </c>
      <c r="D32" s="471">
        <v>346</v>
      </c>
      <c r="E32" s="470">
        <f t="shared" si="2"/>
        <v>0.90462427745664742</v>
      </c>
      <c r="F32" s="473">
        <f t="shared" si="0"/>
        <v>-4.6242774566473965E-3</v>
      </c>
      <c r="G32" s="474">
        <f t="shared" si="3"/>
        <v>-0.7999999999999996</v>
      </c>
      <c r="H32" s="474">
        <f>C32</f>
        <v>313</v>
      </c>
      <c r="I32" s="475">
        <v>346</v>
      </c>
      <c r="J32" s="582">
        <v>0.9</v>
      </c>
    </row>
    <row r="33" spans="1:10" x14ac:dyDescent="0.25">
      <c r="A33" s="469" t="s">
        <v>35</v>
      </c>
      <c r="B33" s="470">
        <v>0.92400000000000004</v>
      </c>
      <c r="C33" s="471">
        <v>1195</v>
      </c>
      <c r="D33" s="471">
        <v>1467</v>
      </c>
      <c r="E33" s="470">
        <f t="shared" si="2"/>
        <v>0.81458759372869805</v>
      </c>
      <c r="F33" s="473">
        <f t="shared" si="0"/>
        <v>8.5412406271301977E-2</v>
      </c>
      <c r="G33" s="474">
        <f t="shared" si="3"/>
        <v>62.65</v>
      </c>
      <c r="H33" s="474">
        <f t="shared" si="4"/>
        <v>1257.6500000000001</v>
      </c>
      <c r="I33" s="475">
        <v>1467</v>
      </c>
      <c r="J33" s="582">
        <f t="shared" ref="J33:J37" si="5">H33/I33</f>
        <v>0.85729379686434903</v>
      </c>
    </row>
    <row r="34" spans="1:10" x14ac:dyDescent="0.25">
      <c r="A34" s="469" t="s">
        <v>36</v>
      </c>
      <c r="B34" s="470">
        <v>0.69299999999999995</v>
      </c>
      <c r="C34" s="471">
        <v>1681</v>
      </c>
      <c r="D34" s="471">
        <v>1886</v>
      </c>
      <c r="E34" s="470">
        <f t="shared" si="2"/>
        <v>0.89130434782608692</v>
      </c>
      <c r="F34" s="473">
        <f t="shared" si="0"/>
        <v>8.6956521739131043E-3</v>
      </c>
      <c r="G34" s="474">
        <f t="shared" si="3"/>
        <v>8.2000000000000579</v>
      </c>
      <c r="H34" s="474">
        <f t="shared" si="4"/>
        <v>1689.2</v>
      </c>
      <c r="I34" s="475">
        <v>1886</v>
      </c>
      <c r="J34" s="582">
        <f t="shared" si="5"/>
        <v>0.89565217391304353</v>
      </c>
    </row>
    <row r="35" spans="1:10" x14ac:dyDescent="0.25">
      <c r="A35" s="469" t="s">
        <v>37</v>
      </c>
      <c r="B35" s="472">
        <v>0.86299999999999999</v>
      </c>
      <c r="C35" s="471">
        <v>1640</v>
      </c>
      <c r="D35" s="471">
        <v>1848</v>
      </c>
      <c r="E35" s="470">
        <f t="shared" si="2"/>
        <v>0.88744588744588748</v>
      </c>
      <c r="F35" s="473">
        <f t="shared" si="0"/>
        <v>1.255411255411254E-2</v>
      </c>
      <c r="G35" s="474">
        <f t="shared" si="3"/>
        <v>11.599999999999985</v>
      </c>
      <c r="H35" s="474">
        <f t="shared" si="4"/>
        <v>1651.6</v>
      </c>
      <c r="I35" s="475">
        <v>1848</v>
      </c>
      <c r="J35" s="582">
        <f t="shared" si="5"/>
        <v>0.8937229437229437</v>
      </c>
    </row>
    <row r="36" spans="1:10" x14ac:dyDescent="0.25">
      <c r="A36" s="469" t="s">
        <v>38</v>
      </c>
      <c r="B36" s="470">
        <v>0.78800000000000003</v>
      </c>
      <c r="C36" s="471">
        <v>350</v>
      </c>
      <c r="D36" s="471">
        <v>443</v>
      </c>
      <c r="E36" s="470">
        <f t="shared" si="2"/>
        <v>0.79006772009029347</v>
      </c>
      <c r="F36" s="473">
        <f t="shared" si="0"/>
        <v>0.10993227990970655</v>
      </c>
      <c r="G36" s="474">
        <f t="shared" si="3"/>
        <v>24.350000000000005</v>
      </c>
      <c r="H36" s="474">
        <f t="shared" si="4"/>
        <v>374.35</v>
      </c>
      <c r="I36" s="475">
        <v>443</v>
      </c>
      <c r="J36" s="582">
        <f t="shared" si="5"/>
        <v>0.8450338600451468</v>
      </c>
    </row>
    <row r="37" spans="1:10" x14ac:dyDescent="0.25">
      <c r="A37" s="469" t="s">
        <v>39</v>
      </c>
      <c r="B37" s="470">
        <v>0.81599999999999995</v>
      </c>
      <c r="C37" s="471">
        <v>1083</v>
      </c>
      <c r="D37" s="471">
        <v>1298</v>
      </c>
      <c r="E37" s="470">
        <f t="shared" si="2"/>
        <v>0.83436055469953774</v>
      </c>
      <c r="F37" s="473">
        <f t="shared" si="0"/>
        <v>6.5639445300462285E-2</v>
      </c>
      <c r="G37" s="474">
        <f t="shared" si="3"/>
        <v>42.600000000000023</v>
      </c>
      <c r="H37" s="474">
        <f t="shared" si="4"/>
        <v>1125.5999999999999</v>
      </c>
      <c r="I37" s="475">
        <v>1298</v>
      </c>
      <c r="J37" s="582">
        <f t="shared" si="5"/>
        <v>0.86718027734976877</v>
      </c>
    </row>
    <row r="38" spans="1:10" x14ac:dyDescent="0.25">
      <c r="A38" s="476"/>
      <c r="B38" s="457" t="s">
        <v>33</v>
      </c>
      <c r="C38" s="477"/>
      <c r="D38" s="477"/>
      <c r="E38" s="478"/>
      <c r="F38" s="478"/>
      <c r="G38" s="479"/>
      <c r="H38" s="479"/>
      <c r="I38" s="477"/>
      <c r="J38" s="480"/>
    </row>
  </sheetData>
  <pageMargins left="0.7" right="0.7" top="0.75" bottom="0.75" header="0.3" footer="0.3"/>
  <pageSetup orientation="portrait" verticalDpi="0" r:id="rId1"/>
  <ignoredErrors>
    <ignoredError sqref="H17:H21 H23:H29 H31" formula="1"/>
  </ignoredError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CP2:DD41"/>
  <sheetViews>
    <sheetView showGridLines="0" topLeftCell="CO1" zoomScaleNormal="100" workbookViewId="0">
      <selection activeCell="CZ41" sqref="CZ41"/>
    </sheetView>
  </sheetViews>
  <sheetFormatPr baseColWidth="10" defaultRowHeight="15" outlineLevelCol="1" x14ac:dyDescent="0.25"/>
  <cols>
    <col min="1" max="92" width="0" hidden="1" customWidth="1"/>
    <col min="93" max="93" width="1.85546875" customWidth="1"/>
    <col min="94" max="94" width="27.7109375" customWidth="1"/>
    <col min="95" max="98" width="11.42578125" hidden="1" customWidth="1" outlineLevel="1"/>
    <col min="99" max="99" width="17.28515625" customWidth="1" collapsed="1"/>
    <col min="100" max="103" width="17.28515625" customWidth="1"/>
    <col min="104" max="104" width="24.85546875" customWidth="1"/>
    <col min="105" max="106" width="17.28515625" hidden="1" customWidth="1"/>
  </cols>
  <sheetData>
    <row r="2" spans="94:108" x14ac:dyDescent="0.25">
      <c r="CP2" s="595" t="s">
        <v>102</v>
      </c>
      <c r="CQ2" s="597" t="s">
        <v>63</v>
      </c>
      <c r="CR2" s="597"/>
      <c r="CS2" s="597"/>
      <c r="CT2" s="597"/>
      <c r="CU2" s="597"/>
      <c r="CV2" s="597"/>
      <c r="CW2" s="597"/>
      <c r="CX2" s="106" t="s">
        <v>3</v>
      </c>
      <c r="CY2" s="725" t="s">
        <v>134</v>
      </c>
      <c r="CZ2" s="725"/>
      <c r="DA2" s="725"/>
      <c r="DB2" s="725"/>
    </row>
    <row r="3" spans="94:108" ht="44.25" customHeight="1" x14ac:dyDescent="0.25">
      <c r="CP3" s="596"/>
      <c r="CQ3" s="597"/>
      <c r="CR3" s="597"/>
      <c r="CS3" s="597"/>
      <c r="CT3" s="597"/>
      <c r="CU3" s="597"/>
      <c r="CV3" s="597"/>
      <c r="CW3" s="597"/>
      <c r="CX3" s="107">
        <v>0.9</v>
      </c>
      <c r="CY3" s="725" t="s">
        <v>141</v>
      </c>
      <c r="CZ3" s="725"/>
      <c r="DA3" s="725"/>
      <c r="DB3" s="725"/>
    </row>
    <row r="4" spans="94:108" x14ac:dyDescent="0.25">
      <c r="CP4" s="105" t="s">
        <v>1</v>
      </c>
      <c r="CQ4" s="597" t="s">
        <v>64</v>
      </c>
      <c r="CR4" s="597"/>
      <c r="CS4" s="597"/>
      <c r="CT4" s="597"/>
      <c r="CU4" s="597"/>
      <c r="CV4" s="597"/>
      <c r="CW4" s="597"/>
      <c r="CX4" s="597"/>
      <c r="CY4" s="597"/>
      <c r="CZ4" s="597"/>
      <c r="DA4" s="597"/>
      <c r="DB4" s="597"/>
    </row>
    <row r="5" spans="94:108" x14ac:dyDescent="0.25">
      <c r="CP5" s="105" t="s">
        <v>2</v>
      </c>
      <c r="CQ5" s="597" t="s">
        <v>152</v>
      </c>
      <c r="CR5" s="597"/>
      <c r="CS5" s="597"/>
      <c r="CT5" s="597"/>
      <c r="CU5" s="597"/>
      <c r="CV5" s="597"/>
      <c r="CW5" s="597"/>
      <c r="CX5" s="597"/>
      <c r="CY5" s="597"/>
      <c r="CZ5" s="597"/>
      <c r="DA5" s="597"/>
      <c r="DB5" s="597"/>
    </row>
    <row r="7" spans="94:108" x14ac:dyDescent="0.25">
      <c r="CP7" s="716" t="s">
        <v>40</v>
      </c>
      <c r="CQ7" s="716" t="s">
        <v>41</v>
      </c>
      <c r="CR7" s="718" t="s">
        <v>84</v>
      </c>
      <c r="CS7" s="719"/>
      <c r="CT7" s="720"/>
      <c r="CU7" s="718" t="s">
        <v>143</v>
      </c>
      <c r="CV7" s="719"/>
      <c r="CW7" s="720"/>
      <c r="CX7" s="740" t="s">
        <v>43</v>
      </c>
      <c r="CY7" s="741" t="s">
        <v>62</v>
      </c>
      <c r="CZ7" s="738" t="s">
        <v>138</v>
      </c>
      <c r="DA7" s="698" t="s">
        <v>82</v>
      </c>
      <c r="DB7" s="698" t="s">
        <v>83</v>
      </c>
    </row>
    <row r="8" spans="94:108" x14ac:dyDescent="0.25">
      <c r="CP8" s="717"/>
      <c r="CQ8" s="717"/>
      <c r="CR8" s="1" t="s">
        <v>82</v>
      </c>
      <c r="CS8" s="1" t="s">
        <v>83</v>
      </c>
      <c r="CT8" s="1" t="s">
        <v>87</v>
      </c>
      <c r="CU8" s="1" t="s">
        <v>82</v>
      </c>
      <c r="CV8" s="1" t="s">
        <v>83</v>
      </c>
      <c r="CW8" s="1" t="s">
        <v>87</v>
      </c>
      <c r="CX8" s="717"/>
      <c r="CY8" s="742"/>
      <c r="CZ8" s="739"/>
      <c r="DA8" s="699"/>
      <c r="DB8" s="699"/>
    </row>
    <row r="9" spans="94:108" ht="15.75" x14ac:dyDescent="0.25">
      <c r="CP9" s="79" t="s">
        <v>6</v>
      </c>
      <c r="CQ9" s="79" t="s">
        <v>7</v>
      </c>
      <c r="CR9" s="16">
        <v>521</v>
      </c>
      <c r="CS9" s="16">
        <v>3096</v>
      </c>
      <c r="CT9" s="108">
        <v>0.16828165374677004</v>
      </c>
      <c r="CU9" s="119">
        <v>2026</v>
      </c>
      <c r="CV9" s="119">
        <v>2599</v>
      </c>
      <c r="CW9" s="18">
        <f>CU9/CV9</f>
        <v>0.77953058868795688</v>
      </c>
      <c r="CX9" s="13">
        <f>IF(CW9&lt;$CX$3,$CX$3-CW9,"-")</f>
        <v>0.12046941131204314</v>
      </c>
      <c r="CY9" s="13">
        <f>IFERROR(CX9*0.5,"-")</f>
        <v>6.023470565602157E-2</v>
      </c>
      <c r="CZ9" s="14">
        <f>IFERROR((CY9+CW9),IF(CW9&gt;=$CX$3,CW9))</f>
        <v>0.8397652943439784</v>
      </c>
      <c r="DA9" s="15">
        <f>DB9*CZ9</f>
        <v>2182.5499999999997</v>
      </c>
      <c r="DB9" s="15">
        <f>CV9</f>
        <v>2599</v>
      </c>
      <c r="DD9" s="120"/>
    </row>
    <row r="10" spans="94:108" ht="15.75" x14ac:dyDescent="0.25">
      <c r="CP10" s="79" t="s">
        <v>8</v>
      </c>
      <c r="CQ10" s="79" t="s">
        <v>7</v>
      </c>
      <c r="CR10" s="16">
        <v>263</v>
      </c>
      <c r="CS10" s="16">
        <v>1470</v>
      </c>
      <c r="CT10" s="108">
        <v>0.17891156462585034</v>
      </c>
      <c r="CU10" s="119">
        <v>699</v>
      </c>
      <c r="CV10" s="119">
        <v>1385</v>
      </c>
      <c r="CW10" s="18">
        <f t="shared" ref="CW10:CW41" si="0">CU10/CV10</f>
        <v>0.50469314079422378</v>
      </c>
      <c r="CX10" s="13">
        <f t="shared" ref="CX10:CX25" si="1">IF(CW10&lt;$CX$3,$CX$3-CW10,"-")</f>
        <v>0.39530685920577624</v>
      </c>
      <c r="CY10" s="13">
        <f t="shared" ref="CY10:CY41" si="2">IFERROR(CX10*0.5,"-")</f>
        <v>0.19765342960288812</v>
      </c>
      <c r="CZ10" s="14">
        <f>IFERROR((CY10+CW10),IF(CW10&gt;=$CX$3,CW10))</f>
        <v>0.7023465703971119</v>
      </c>
      <c r="DA10" s="15">
        <f t="shared" ref="DA10:DA25" si="3">DB10*CZ10</f>
        <v>972.75</v>
      </c>
      <c r="DB10" s="15">
        <f t="shared" ref="DB10:DB25" si="4">CV10</f>
        <v>1385</v>
      </c>
      <c r="DD10" s="120"/>
    </row>
    <row r="11" spans="94:108" ht="15.75" x14ac:dyDescent="0.25">
      <c r="CP11" s="79" t="s">
        <v>9</v>
      </c>
      <c r="CQ11" s="79" t="s">
        <v>7</v>
      </c>
      <c r="CR11" s="16">
        <v>569</v>
      </c>
      <c r="CS11" s="16">
        <v>1768</v>
      </c>
      <c r="CT11" s="108">
        <v>0.32183257918552038</v>
      </c>
      <c r="CU11" s="119">
        <v>572</v>
      </c>
      <c r="CV11" s="119">
        <v>1896</v>
      </c>
      <c r="CW11" s="18">
        <f t="shared" si="0"/>
        <v>0.30168776371308015</v>
      </c>
      <c r="CX11" s="13">
        <f t="shared" si="1"/>
        <v>0.59831223628691987</v>
      </c>
      <c r="CY11" s="13">
        <f t="shared" si="2"/>
        <v>0.29915611814345994</v>
      </c>
      <c r="CZ11" s="14">
        <f t="shared" ref="CZ11:CZ25" si="5">IFERROR((CY11+CW11),IF(CW11&gt;=$CX$3,CW11))</f>
        <v>0.60084388185654003</v>
      </c>
      <c r="DA11" s="15">
        <f t="shared" si="3"/>
        <v>1139.1999999999998</v>
      </c>
      <c r="DB11" s="15">
        <f t="shared" si="4"/>
        <v>1896</v>
      </c>
      <c r="DD11" s="120"/>
    </row>
    <row r="12" spans="94:108" ht="15.75" x14ac:dyDescent="0.25">
      <c r="CP12" s="79" t="s">
        <v>10</v>
      </c>
      <c r="CQ12" s="79" t="s">
        <v>7</v>
      </c>
      <c r="CR12" s="16">
        <v>116</v>
      </c>
      <c r="CS12" s="16">
        <v>433</v>
      </c>
      <c r="CT12" s="108">
        <v>0.26789838337182448</v>
      </c>
      <c r="CU12" s="119">
        <v>334</v>
      </c>
      <c r="CV12" s="119">
        <v>408</v>
      </c>
      <c r="CW12" s="18">
        <f t="shared" si="0"/>
        <v>0.81862745098039214</v>
      </c>
      <c r="CX12" s="13">
        <f t="shared" si="1"/>
        <v>8.1372549019607887E-2</v>
      </c>
      <c r="CY12" s="13">
        <f t="shared" si="2"/>
        <v>4.0686274509803944E-2</v>
      </c>
      <c r="CZ12" s="14">
        <f t="shared" si="5"/>
        <v>0.85931372549019613</v>
      </c>
      <c r="DA12" s="15">
        <f t="shared" si="3"/>
        <v>350.6</v>
      </c>
      <c r="DB12" s="15">
        <f t="shared" si="4"/>
        <v>408</v>
      </c>
      <c r="DD12" s="120"/>
    </row>
    <row r="13" spans="94:108" ht="15.75" x14ac:dyDescent="0.25">
      <c r="CP13" s="79" t="s">
        <v>11</v>
      </c>
      <c r="CQ13" s="79" t="s">
        <v>7</v>
      </c>
      <c r="CR13" s="16">
        <v>599</v>
      </c>
      <c r="CS13" s="16">
        <v>1352</v>
      </c>
      <c r="CT13" s="108">
        <v>0.44304733727810652</v>
      </c>
      <c r="CU13" s="119">
        <v>1208</v>
      </c>
      <c r="CV13" s="119">
        <v>1587</v>
      </c>
      <c r="CW13" s="18">
        <f t="shared" si="0"/>
        <v>0.76118462507876494</v>
      </c>
      <c r="CX13" s="13">
        <f t="shared" si="1"/>
        <v>0.13881537492123508</v>
      </c>
      <c r="CY13" s="13">
        <f t="shared" si="2"/>
        <v>6.940768746061754E-2</v>
      </c>
      <c r="CZ13" s="14">
        <f t="shared" si="5"/>
        <v>0.83059231253938248</v>
      </c>
      <c r="DA13" s="15">
        <f t="shared" si="3"/>
        <v>1318.15</v>
      </c>
      <c r="DB13" s="15">
        <f t="shared" si="4"/>
        <v>1587</v>
      </c>
      <c r="DD13" s="120"/>
    </row>
    <row r="14" spans="94:108" ht="15.75" x14ac:dyDescent="0.25">
      <c r="CP14" s="79" t="s">
        <v>12</v>
      </c>
      <c r="CQ14" s="79" t="s">
        <v>7</v>
      </c>
      <c r="CR14" s="16">
        <v>331</v>
      </c>
      <c r="CS14" s="16">
        <v>855</v>
      </c>
      <c r="CT14" s="108">
        <v>0.38713450292397661</v>
      </c>
      <c r="CU14" s="119">
        <v>748</v>
      </c>
      <c r="CV14" s="119">
        <v>903</v>
      </c>
      <c r="CW14" s="18">
        <f t="shared" si="0"/>
        <v>0.82834994462901435</v>
      </c>
      <c r="CX14" s="13">
        <f t="shared" si="1"/>
        <v>7.1650055370985677E-2</v>
      </c>
      <c r="CY14" s="13">
        <f t="shared" si="2"/>
        <v>3.5825027685492838E-2</v>
      </c>
      <c r="CZ14" s="14">
        <f t="shared" si="5"/>
        <v>0.86417497231450713</v>
      </c>
      <c r="DA14" s="15">
        <f t="shared" si="3"/>
        <v>780.34999999999991</v>
      </c>
      <c r="DB14" s="15">
        <f t="shared" si="4"/>
        <v>903</v>
      </c>
      <c r="DD14" s="120"/>
    </row>
    <row r="15" spans="94:108" ht="15.75" x14ac:dyDescent="0.25">
      <c r="CP15" s="79" t="s">
        <v>13</v>
      </c>
      <c r="CQ15" s="79" t="s">
        <v>7</v>
      </c>
      <c r="CR15" s="16">
        <v>465</v>
      </c>
      <c r="CS15" s="16">
        <v>1200</v>
      </c>
      <c r="CT15" s="108">
        <v>0.38750000000000001</v>
      </c>
      <c r="CU15" s="119">
        <v>1306</v>
      </c>
      <c r="CV15" s="119">
        <v>1498</v>
      </c>
      <c r="CW15" s="18">
        <f t="shared" si="0"/>
        <v>0.8718291054739653</v>
      </c>
      <c r="CX15" s="13">
        <f t="shared" si="1"/>
        <v>2.8170894526034718E-2</v>
      </c>
      <c r="CY15" s="13">
        <f t="shared" si="2"/>
        <v>1.4085447263017359E-2</v>
      </c>
      <c r="CZ15" s="14">
        <f t="shared" si="5"/>
        <v>0.88591455273698272</v>
      </c>
      <c r="DA15" s="15">
        <f t="shared" si="3"/>
        <v>1327.1000000000001</v>
      </c>
      <c r="DB15" s="15">
        <f t="shared" si="4"/>
        <v>1498</v>
      </c>
      <c r="DD15" s="120"/>
    </row>
    <row r="16" spans="94:108" ht="15.75" x14ac:dyDescent="0.25">
      <c r="CP16" s="79" t="s">
        <v>14</v>
      </c>
      <c r="CQ16" s="79" t="s">
        <v>7</v>
      </c>
      <c r="CR16" s="16">
        <v>341</v>
      </c>
      <c r="CS16" s="16">
        <v>726</v>
      </c>
      <c r="CT16" s="108">
        <v>0.46969696969696972</v>
      </c>
      <c r="CU16" s="119">
        <v>682</v>
      </c>
      <c r="CV16" s="119">
        <v>777</v>
      </c>
      <c r="CW16" s="18">
        <f t="shared" si="0"/>
        <v>0.87773487773487768</v>
      </c>
      <c r="CX16" s="13">
        <f t="shared" si="1"/>
        <v>2.2265122265122339E-2</v>
      </c>
      <c r="CY16" s="13">
        <f t="shared" si="2"/>
        <v>1.113256113256117E-2</v>
      </c>
      <c r="CZ16" s="14">
        <f t="shared" si="5"/>
        <v>0.88886743886743891</v>
      </c>
      <c r="DA16" s="15">
        <f t="shared" si="3"/>
        <v>690.65</v>
      </c>
      <c r="DB16" s="15">
        <f t="shared" si="4"/>
        <v>777</v>
      </c>
      <c r="DD16" s="120"/>
    </row>
    <row r="17" spans="94:108" ht="15.75" x14ac:dyDescent="0.25">
      <c r="CP17" s="79" t="s">
        <v>15</v>
      </c>
      <c r="CQ17" s="79" t="s">
        <v>7</v>
      </c>
      <c r="CR17" s="16">
        <v>262</v>
      </c>
      <c r="CS17" s="16">
        <v>296</v>
      </c>
      <c r="CT17" s="108">
        <v>0.88513513513513509</v>
      </c>
      <c r="CU17" s="119">
        <v>311</v>
      </c>
      <c r="CV17" s="119">
        <v>346</v>
      </c>
      <c r="CW17" s="18">
        <f t="shared" si="0"/>
        <v>0.89884393063583812</v>
      </c>
      <c r="CX17" s="13">
        <f t="shared" si="1"/>
        <v>1.1560693641619046E-3</v>
      </c>
      <c r="CY17" s="13">
        <f t="shared" si="2"/>
        <v>5.7803468208095232E-4</v>
      </c>
      <c r="CZ17" s="14">
        <f t="shared" si="5"/>
        <v>0.89942196531791907</v>
      </c>
      <c r="DA17" s="15">
        <f t="shared" si="3"/>
        <v>311.2</v>
      </c>
      <c r="DB17" s="15">
        <f t="shared" si="4"/>
        <v>346</v>
      </c>
      <c r="DD17" s="120"/>
    </row>
    <row r="18" spans="94:108" ht="15.75" x14ac:dyDescent="0.25">
      <c r="CP18" s="79" t="s">
        <v>16</v>
      </c>
      <c r="CQ18" s="79" t="s">
        <v>7</v>
      </c>
      <c r="CR18" s="16">
        <v>443</v>
      </c>
      <c r="CS18" s="16">
        <v>648</v>
      </c>
      <c r="CT18" s="108">
        <v>0.68364197530864201</v>
      </c>
      <c r="CU18" s="119">
        <v>618</v>
      </c>
      <c r="CV18" s="119">
        <v>763</v>
      </c>
      <c r="CW18" s="18">
        <f t="shared" si="0"/>
        <v>0.80996068152031453</v>
      </c>
      <c r="CX18" s="13">
        <f t="shared" si="1"/>
        <v>9.0039318479685493E-2</v>
      </c>
      <c r="CY18" s="13">
        <f t="shared" si="2"/>
        <v>4.5019659239842746E-2</v>
      </c>
      <c r="CZ18" s="14">
        <f t="shared" si="5"/>
        <v>0.85498034076015728</v>
      </c>
      <c r="DA18" s="15">
        <f t="shared" si="3"/>
        <v>652.35</v>
      </c>
      <c r="DB18" s="15">
        <f t="shared" si="4"/>
        <v>763</v>
      </c>
      <c r="DD18" s="120"/>
    </row>
    <row r="19" spans="94:108" ht="15.75" x14ac:dyDescent="0.25">
      <c r="CP19" s="79" t="s">
        <v>17</v>
      </c>
      <c r="CQ19" s="79" t="s">
        <v>7</v>
      </c>
      <c r="CR19" s="16">
        <v>548</v>
      </c>
      <c r="CS19" s="16">
        <v>1092</v>
      </c>
      <c r="CT19" s="108">
        <v>0.50183150183150182</v>
      </c>
      <c r="CU19" s="119">
        <v>855</v>
      </c>
      <c r="CV19" s="119">
        <v>1192</v>
      </c>
      <c r="CW19" s="18">
        <f t="shared" si="0"/>
        <v>0.71728187919463082</v>
      </c>
      <c r="CX19" s="13">
        <f t="shared" si="1"/>
        <v>0.1827181208053692</v>
      </c>
      <c r="CY19" s="13">
        <f t="shared" si="2"/>
        <v>9.13590604026846E-2</v>
      </c>
      <c r="CZ19" s="14">
        <f t="shared" si="5"/>
        <v>0.80864093959731542</v>
      </c>
      <c r="DA19" s="15">
        <f t="shared" si="3"/>
        <v>963.9</v>
      </c>
      <c r="DB19" s="15">
        <f t="shared" si="4"/>
        <v>1192</v>
      </c>
      <c r="DD19" s="120"/>
    </row>
    <row r="20" spans="94:108" ht="15.75" x14ac:dyDescent="0.25">
      <c r="CP20" s="79" t="s">
        <v>18</v>
      </c>
      <c r="CQ20" s="79" t="s">
        <v>7</v>
      </c>
      <c r="CR20" s="16">
        <v>756</v>
      </c>
      <c r="CS20" s="16">
        <v>1574</v>
      </c>
      <c r="CT20" s="108">
        <v>0.48030495552731894</v>
      </c>
      <c r="CU20" s="119">
        <v>1439</v>
      </c>
      <c r="CV20" s="119">
        <v>1942</v>
      </c>
      <c r="CW20" s="18">
        <f t="shared" si="0"/>
        <v>0.74098867147270853</v>
      </c>
      <c r="CX20" s="13">
        <f t="shared" si="1"/>
        <v>0.1590113285272915</v>
      </c>
      <c r="CY20" s="13">
        <f t="shared" si="2"/>
        <v>7.9505664263645748E-2</v>
      </c>
      <c r="CZ20" s="14">
        <f t="shared" si="5"/>
        <v>0.82049433573635433</v>
      </c>
      <c r="DA20" s="15">
        <f t="shared" si="3"/>
        <v>1593.4</v>
      </c>
      <c r="DB20" s="15">
        <f t="shared" si="4"/>
        <v>1942</v>
      </c>
      <c r="DD20" s="120"/>
    </row>
    <row r="21" spans="94:108" ht="15.75" x14ac:dyDescent="0.25">
      <c r="CP21" s="79" t="s">
        <v>19</v>
      </c>
      <c r="CQ21" s="79" t="s">
        <v>7</v>
      </c>
      <c r="CR21" s="16">
        <v>333</v>
      </c>
      <c r="CS21" s="16">
        <v>725</v>
      </c>
      <c r="CT21" s="108">
        <v>0.4593103448275862</v>
      </c>
      <c r="CU21" s="119">
        <v>827</v>
      </c>
      <c r="CV21" s="119">
        <v>844</v>
      </c>
      <c r="CW21" s="18">
        <f t="shared" si="0"/>
        <v>0.97985781990521326</v>
      </c>
      <c r="CX21" s="13" t="str">
        <f t="shared" si="1"/>
        <v>-</v>
      </c>
      <c r="CY21" s="13" t="str">
        <f t="shared" si="2"/>
        <v>-</v>
      </c>
      <c r="CZ21" s="14">
        <f t="shared" si="5"/>
        <v>0.97985781990521326</v>
      </c>
      <c r="DA21" s="15">
        <f t="shared" si="3"/>
        <v>827</v>
      </c>
      <c r="DB21" s="15">
        <f t="shared" si="4"/>
        <v>844</v>
      </c>
      <c r="DD21" s="120"/>
    </row>
    <row r="22" spans="94:108" ht="15.75" x14ac:dyDescent="0.25">
      <c r="CP22" s="79" t="s">
        <v>20</v>
      </c>
      <c r="CQ22" s="79" t="s">
        <v>7</v>
      </c>
      <c r="CR22" s="16">
        <v>145</v>
      </c>
      <c r="CS22" s="16">
        <v>495</v>
      </c>
      <c r="CT22" s="108">
        <v>0.29292929292929293</v>
      </c>
      <c r="CU22" s="119">
        <v>432</v>
      </c>
      <c r="CV22" s="119">
        <v>527</v>
      </c>
      <c r="CW22" s="18">
        <f t="shared" si="0"/>
        <v>0.81973434535104361</v>
      </c>
      <c r="CX22" s="13">
        <f t="shared" si="1"/>
        <v>8.0265654648956408E-2</v>
      </c>
      <c r="CY22" s="13">
        <f t="shared" si="2"/>
        <v>4.0132827324478204E-2</v>
      </c>
      <c r="CZ22" s="14">
        <f t="shared" si="5"/>
        <v>0.85986717267552182</v>
      </c>
      <c r="DA22" s="15">
        <f t="shared" si="3"/>
        <v>453.15</v>
      </c>
      <c r="DB22" s="15">
        <f t="shared" si="4"/>
        <v>527</v>
      </c>
      <c r="DD22" s="120"/>
    </row>
    <row r="23" spans="94:108" ht="15.75" x14ac:dyDescent="0.25">
      <c r="CP23" s="79" t="s">
        <v>21</v>
      </c>
      <c r="CQ23" s="79" t="s">
        <v>7</v>
      </c>
      <c r="CR23" s="16">
        <v>91</v>
      </c>
      <c r="CS23" s="16">
        <v>414</v>
      </c>
      <c r="CT23" s="108">
        <v>0.21980676328502416</v>
      </c>
      <c r="CU23" s="119">
        <v>368</v>
      </c>
      <c r="CV23" s="119">
        <v>425</v>
      </c>
      <c r="CW23" s="18">
        <f t="shared" si="0"/>
        <v>0.86588235294117644</v>
      </c>
      <c r="CX23" s="13">
        <f t="shared" si="1"/>
        <v>3.4117647058823586E-2</v>
      </c>
      <c r="CY23" s="13">
        <f t="shared" si="2"/>
        <v>1.7058823529411793E-2</v>
      </c>
      <c r="CZ23" s="14">
        <f t="shared" si="5"/>
        <v>0.88294117647058823</v>
      </c>
      <c r="DA23" s="15">
        <f t="shared" si="3"/>
        <v>375.25</v>
      </c>
      <c r="DB23" s="15">
        <f t="shared" si="4"/>
        <v>425</v>
      </c>
      <c r="DD23" s="120"/>
    </row>
    <row r="24" spans="94:108" ht="15.75" x14ac:dyDescent="0.25">
      <c r="CP24" s="79" t="s">
        <v>22</v>
      </c>
      <c r="CQ24" s="79" t="s">
        <v>7</v>
      </c>
      <c r="CR24" s="16">
        <v>281</v>
      </c>
      <c r="CS24" s="16">
        <v>420</v>
      </c>
      <c r="CT24" s="108">
        <v>0.669047619047619</v>
      </c>
      <c r="CU24" s="119">
        <v>373</v>
      </c>
      <c r="CV24" s="119">
        <v>421</v>
      </c>
      <c r="CW24" s="18">
        <f t="shared" si="0"/>
        <v>0.88598574821852727</v>
      </c>
      <c r="CX24" s="13">
        <f t="shared" si="1"/>
        <v>1.4014251781472753E-2</v>
      </c>
      <c r="CY24" s="13">
        <f t="shared" si="2"/>
        <v>7.0071258907363765E-3</v>
      </c>
      <c r="CZ24" s="14">
        <f t="shared" si="5"/>
        <v>0.89299287410926365</v>
      </c>
      <c r="DA24" s="15">
        <f t="shared" si="3"/>
        <v>375.95</v>
      </c>
      <c r="DB24" s="15">
        <f t="shared" si="4"/>
        <v>421</v>
      </c>
      <c r="DD24" s="120"/>
    </row>
    <row r="25" spans="94:108" ht="15.75" x14ac:dyDescent="0.25">
      <c r="CP25" s="79" t="s">
        <v>23</v>
      </c>
      <c r="CQ25" s="79" t="s">
        <v>7</v>
      </c>
      <c r="CR25" s="16">
        <v>700</v>
      </c>
      <c r="CS25" s="16">
        <v>761</v>
      </c>
      <c r="CT25" s="108">
        <v>0.91984231274638628</v>
      </c>
      <c r="CU25" s="119">
        <v>767</v>
      </c>
      <c r="CV25" s="119">
        <v>838</v>
      </c>
      <c r="CW25" s="18">
        <f t="shared" si="0"/>
        <v>0.91527446300715987</v>
      </c>
      <c r="CX25" s="13" t="str">
        <f t="shared" si="1"/>
        <v>-</v>
      </c>
      <c r="CY25" s="13" t="str">
        <f t="shared" si="2"/>
        <v>-</v>
      </c>
      <c r="CZ25" s="14">
        <f t="shared" si="5"/>
        <v>0.91527446300715987</v>
      </c>
      <c r="DA25" s="15">
        <f t="shared" si="3"/>
        <v>767</v>
      </c>
      <c r="DB25" s="15">
        <f t="shared" si="4"/>
        <v>838</v>
      </c>
      <c r="DD25" s="120"/>
    </row>
    <row r="26" spans="94:108" ht="15.75" x14ac:dyDescent="0.25">
      <c r="CP26" s="80"/>
      <c r="CQ26" s="90" t="s">
        <v>7</v>
      </c>
      <c r="CR26" s="23"/>
      <c r="CS26" s="23"/>
      <c r="CT26" s="23"/>
      <c r="CU26" s="118">
        <f>SUM(CU9:CU25)</f>
        <v>13565</v>
      </c>
      <c r="CV26" s="118">
        <f>SUM(CV9:CV25)</f>
        <v>18351</v>
      </c>
      <c r="CW26" s="33">
        <f>CU26/CV26</f>
        <v>0.73919677401776474</v>
      </c>
      <c r="CX26" s="28"/>
      <c r="CY26" s="28"/>
      <c r="CZ26" s="28"/>
      <c r="DA26" s="28"/>
      <c r="DB26" s="29"/>
      <c r="DD26" s="120"/>
    </row>
    <row r="27" spans="94:108" ht="15.75" x14ac:dyDescent="0.25">
      <c r="CP27" s="79" t="s">
        <v>24</v>
      </c>
      <c r="CQ27" s="79" t="s">
        <v>25</v>
      </c>
      <c r="CR27" s="16">
        <v>230</v>
      </c>
      <c r="CS27" s="16">
        <v>311</v>
      </c>
      <c r="CT27" s="108">
        <v>0.73954983922829587</v>
      </c>
      <c r="CU27" s="119">
        <v>450</v>
      </c>
      <c r="CV27" s="119">
        <v>481</v>
      </c>
      <c r="CW27" s="18">
        <f t="shared" si="0"/>
        <v>0.9355509355509356</v>
      </c>
      <c r="CX27" s="13" t="str">
        <f t="shared" ref="CX27:CX33" si="6">IF(CW27&lt;$CX$3,$CX$3-CW27,"-")</f>
        <v>-</v>
      </c>
      <c r="CY27" s="13" t="str">
        <f t="shared" si="2"/>
        <v>-</v>
      </c>
      <c r="CZ27" s="14">
        <f>IFERROR((CY27+CW27),IF(CW27&gt;=$CX$3,CW27))</f>
        <v>0.9355509355509356</v>
      </c>
      <c r="DA27" s="15">
        <f>DB27*CZ27</f>
        <v>450</v>
      </c>
      <c r="DB27" s="15">
        <f>CV27</f>
        <v>481</v>
      </c>
      <c r="DD27" s="120"/>
    </row>
    <row r="28" spans="94:108" ht="15.75" x14ac:dyDescent="0.25">
      <c r="CP28" s="79" t="s">
        <v>26</v>
      </c>
      <c r="CQ28" s="79" t="s">
        <v>25</v>
      </c>
      <c r="CR28" s="16">
        <v>86</v>
      </c>
      <c r="CS28" s="16">
        <v>252</v>
      </c>
      <c r="CT28" s="108">
        <v>0.34126984126984128</v>
      </c>
      <c r="CU28" s="119">
        <v>218</v>
      </c>
      <c r="CV28" s="119">
        <v>298</v>
      </c>
      <c r="CW28" s="18">
        <f t="shared" si="0"/>
        <v>0.73154362416107388</v>
      </c>
      <c r="CX28" s="13">
        <f t="shared" si="6"/>
        <v>0.16845637583892614</v>
      </c>
      <c r="CY28" s="13">
        <f t="shared" si="2"/>
        <v>8.4228187919463071E-2</v>
      </c>
      <c r="CZ28" s="14">
        <f t="shared" ref="CZ28:CZ41" si="7">IFERROR((CY28+CW28),IF(CW28&gt;=$CX$3,CW28))</f>
        <v>0.81577181208053695</v>
      </c>
      <c r="DA28" s="15">
        <f t="shared" ref="DA28:DA33" si="8">DB28*CZ28</f>
        <v>243.10000000000002</v>
      </c>
      <c r="DB28" s="15">
        <f t="shared" ref="DB28:DB33" si="9">CV28</f>
        <v>298</v>
      </c>
      <c r="DD28" s="120"/>
    </row>
    <row r="29" spans="94:108" ht="15.75" x14ac:dyDescent="0.25">
      <c r="CP29" s="79" t="s">
        <v>27</v>
      </c>
      <c r="CQ29" s="79" t="s">
        <v>25</v>
      </c>
      <c r="CR29" s="16">
        <v>323</v>
      </c>
      <c r="CS29" s="16">
        <v>669</v>
      </c>
      <c r="CT29" s="108">
        <v>0.48281016442451419</v>
      </c>
      <c r="CU29" s="119">
        <v>690</v>
      </c>
      <c r="CV29" s="119">
        <v>754</v>
      </c>
      <c r="CW29" s="18">
        <f t="shared" si="0"/>
        <v>0.91511936339522548</v>
      </c>
      <c r="CX29" s="13" t="str">
        <f t="shared" si="6"/>
        <v>-</v>
      </c>
      <c r="CY29" s="13" t="str">
        <f t="shared" si="2"/>
        <v>-</v>
      </c>
      <c r="CZ29" s="14">
        <f t="shared" si="7"/>
        <v>0.91511936339522548</v>
      </c>
      <c r="DA29" s="15">
        <f t="shared" si="8"/>
        <v>690</v>
      </c>
      <c r="DB29" s="15">
        <f t="shared" si="9"/>
        <v>754</v>
      </c>
      <c r="DD29" s="120"/>
    </row>
    <row r="30" spans="94:108" ht="15.75" x14ac:dyDescent="0.25">
      <c r="CP30" s="79" t="s">
        <v>28</v>
      </c>
      <c r="CQ30" s="79" t="s">
        <v>25</v>
      </c>
      <c r="CR30" s="16">
        <v>382</v>
      </c>
      <c r="CS30" s="16">
        <v>580</v>
      </c>
      <c r="CT30" s="108">
        <v>0.6586206896551724</v>
      </c>
      <c r="CU30" s="119">
        <v>622</v>
      </c>
      <c r="CV30" s="119">
        <v>718</v>
      </c>
      <c r="CW30" s="18">
        <f t="shared" si="0"/>
        <v>0.86629526462395545</v>
      </c>
      <c r="CX30" s="13">
        <f t="shared" si="6"/>
        <v>3.370473537604457E-2</v>
      </c>
      <c r="CY30" s="13">
        <f t="shared" si="2"/>
        <v>1.6852367688022285E-2</v>
      </c>
      <c r="CZ30" s="14">
        <f t="shared" si="7"/>
        <v>0.88314763231197779</v>
      </c>
      <c r="DA30" s="15">
        <f t="shared" si="8"/>
        <v>634.1</v>
      </c>
      <c r="DB30" s="15">
        <f t="shared" si="9"/>
        <v>718</v>
      </c>
      <c r="DD30" s="120"/>
    </row>
    <row r="31" spans="94:108" ht="15.75" x14ac:dyDescent="0.25">
      <c r="CP31" s="79" t="s">
        <v>29</v>
      </c>
      <c r="CQ31" s="79" t="s">
        <v>25</v>
      </c>
      <c r="CR31" s="16">
        <v>21</v>
      </c>
      <c r="CS31" s="16">
        <v>27</v>
      </c>
      <c r="CT31" s="108">
        <v>0.77777777777777779</v>
      </c>
      <c r="CU31" s="119">
        <v>40</v>
      </c>
      <c r="CV31" s="119">
        <v>42</v>
      </c>
      <c r="CW31" s="18">
        <f t="shared" si="0"/>
        <v>0.95238095238095233</v>
      </c>
      <c r="CX31" s="13" t="str">
        <f t="shared" si="6"/>
        <v>-</v>
      </c>
      <c r="CY31" s="13" t="str">
        <f t="shared" si="2"/>
        <v>-</v>
      </c>
      <c r="CZ31" s="14">
        <f t="shared" si="7"/>
        <v>0.95238095238095233</v>
      </c>
      <c r="DA31" s="15">
        <f t="shared" si="8"/>
        <v>40</v>
      </c>
      <c r="DB31" s="15">
        <f t="shared" si="9"/>
        <v>42</v>
      </c>
      <c r="DD31" s="120"/>
    </row>
    <row r="32" spans="94:108" ht="15.75" x14ac:dyDescent="0.25">
      <c r="CP32" s="79" t="s">
        <v>30</v>
      </c>
      <c r="CQ32" s="79" t="s">
        <v>25</v>
      </c>
      <c r="CR32" s="16">
        <v>342</v>
      </c>
      <c r="CS32" s="16">
        <v>518</v>
      </c>
      <c r="CT32" s="108">
        <v>0.66023166023166024</v>
      </c>
      <c r="CU32" s="119">
        <v>458</v>
      </c>
      <c r="CV32" s="119">
        <v>574</v>
      </c>
      <c r="CW32" s="18">
        <f t="shared" si="0"/>
        <v>0.79790940766550522</v>
      </c>
      <c r="CX32" s="13">
        <f t="shared" si="6"/>
        <v>0.1020905923344948</v>
      </c>
      <c r="CY32" s="13">
        <f t="shared" si="2"/>
        <v>5.10452961672474E-2</v>
      </c>
      <c r="CZ32" s="14">
        <f t="shared" si="7"/>
        <v>0.84895470383275262</v>
      </c>
      <c r="DA32" s="15">
        <f t="shared" si="8"/>
        <v>487.3</v>
      </c>
      <c r="DB32" s="15">
        <f t="shared" si="9"/>
        <v>574</v>
      </c>
      <c r="DD32" s="120"/>
    </row>
    <row r="33" spans="94:108" ht="15.75" x14ac:dyDescent="0.25">
      <c r="CP33" s="79" t="s">
        <v>31</v>
      </c>
      <c r="CQ33" s="79" t="s">
        <v>25</v>
      </c>
      <c r="CR33" s="16">
        <v>381</v>
      </c>
      <c r="CS33" s="16">
        <v>584</v>
      </c>
      <c r="CT33" s="108">
        <v>0.6523972602739726</v>
      </c>
      <c r="CU33" s="119">
        <v>560</v>
      </c>
      <c r="CV33" s="119">
        <v>636</v>
      </c>
      <c r="CW33" s="18">
        <f t="shared" si="0"/>
        <v>0.88050314465408808</v>
      </c>
      <c r="CX33" s="13">
        <f t="shared" si="6"/>
        <v>1.9496855345911945E-2</v>
      </c>
      <c r="CY33" s="13">
        <f t="shared" si="2"/>
        <v>9.7484276729559727E-3</v>
      </c>
      <c r="CZ33" s="14">
        <f t="shared" si="7"/>
        <v>0.89025157232704411</v>
      </c>
      <c r="DA33" s="15">
        <f t="shared" si="8"/>
        <v>566.20000000000005</v>
      </c>
      <c r="DB33" s="15">
        <f t="shared" si="9"/>
        <v>636</v>
      </c>
      <c r="DD33" s="120"/>
    </row>
    <row r="34" spans="94:108" ht="15.75" x14ac:dyDescent="0.25">
      <c r="CP34" s="80"/>
      <c r="CQ34" s="90" t="s">
        <v>25</v>
      </c>
      <c r="CR34" s="23"/>
      <c r="CS34" s="23"/>
      <c r="CT34" s="23"/>
      <c r="CU34" s="118">
        <f>SUM(CU27:CU33)</f>
        <v>3038</v>
      </c>
      <c r="CV34" s="118">
        <f>SUM(CV27:CV33)</f>
        <v>3503</v>
      </c>
      <c r="CW34" s="33">
        <f>CU34/CV34</f>
        <v>0.86725663716814161</v>
      </c>
      <c r="CX34" s="28"/>
      <c r="CY34" s="28"/>
      <c r="CZ34" s="28"/>
      <c r="DA34" s="28"/>
      <c r="DB34" s="29"/>
      <c r="DD34" s="120"/>
    </row>
    <row r="35" spans="94:108" ht="15.75" x14ac:dyDescent="0.25">
      <c r="CP35" s="79" t="s">
        <v>32</v>
      </c>
      <c r="CQ35" s="79" t="s">
        <v>33</v>
      </c>
      <c r="CR35" s="16">
        <v>518</v>
      </c>
      <c r="CS35" s="16">
        <v>1623</v>
      </c>
      <c r="CT35" s="108">
        <v>0.31916204559457795</v>
      </c>
      <c r="CU35" s="119">
        <v>1654</v>
      </c>
      <c r="CV35" s="119">
        <v>1880</v>
      </c>
      <c r="CW35" s="18">
        <f t="shared" si="0"/>
        <v>0.87978723404255321</v>
      </c>
      <c r="CX35" s="13">
        <f t="shared" ref="CX35:CX41" si="10">IF(CW35&lt;$CX$3,$CX$3-CW35,"-")</f>
        <v>2.021276595744681E-2</v>
      </c>
      <c r="CY35" s="13">
        <f t="shared" si="2"/>
        <v>1.0106382978723405E-2</v>
      </c>
      <c r="CZ35" s="14">
        <f t="shared" si="7"/>
        <v>0.88989361702127656</v>
      </c>
      <c r="DA35" s="15">
        <f>DB35*CZ35</f>
        <v>1673</v>
      </c>
      <c r="DB35" s="15">
        <f>CV35</f>
        <v>1880</v>
      </c>
      <c r="DD35" s="120"/>
    </row>
    <row r="36" spans="94:108" ht="15.75" x14ac:dyDescent="0.25">
      <c r="CP36" s="79" t="s">
        <v>34</v>
      </c>
      <c r="CQ36" s="79" t="s">
        <v>33</v>
      </c>
      <c r="CR36" s="16">
        <v>123</v>
      </c>
      <c r="CS36" s="16">
        <v>332</v>
      </c>
      <c r="CT36" s="108">
        <v>0.37048192771084337</v>
      </c>
      <c r="CU36" s="119">
        <v>313</v>
      </c>
      <c r="CV36" s="119">
        <v>346</v>
      </c>
      <c r="CW36" s="18">
        <f t="shared" si="0"/>
        <v>0.90462427745664742</v>
      </c>
      <c r="CX36" s="13" t="str">
        <f t="shared" si="10"/>
        <v>-</v>
      </c>
      <c r="CY36" s="13" t="str">
        <f t="shared" si="2"/>
        <v>-</v>
      </c>
      <c r="CZ36" s="14">
        <f t="shared" si="7"/>
        <v>0.90462427745664742</v>
      </c>
      <c r="DA36" s="15">
        <f t="shared" ref="DA36:DA41" si="11">DB36*CZ36</f>
        <v>313</v>
      </c>
      <c r="DB36" s="15">
        <f t="shared" ref="DB36:DB41" si="12">CV36</f>
        <v>346</v>
      </c>
      <c r="DD36" s="120"/>
    </row>
    <row r="37" spans="94:108" ht="15.75" x14ac:dyDescent="0.25">
      <c r="CP37" s="79" t="s">
        <v>35</v>
      </c>
      <c r="CQ37" s="79" t="s">
        <v>33</v>
      </c>
      <c r="CR37" s="16">
        <v>961</v>
      </c>
      <c r="CS37" s="16">
        <v>1219</v>
      </c>
      <c r="CT37" s="108">
        <v>0.78835110746513537</v>
      </c>
      <c r="CU37" s="119">
        <v>1195</v>
      </c>
      <c r="CV37" s="119">
        <v>1467</v>
      </c>
      <c r="CW37" s="18">
        <f t="shared" si="0"/>
        <v>0.81458759372869805</v>
      </c>
      <c r="CX37" s="13">
        <f t="shared" si="10"/>
        <v>8.5412406271301977E-2</v>
      </c>
      <c r="CY37" s="13">
        <f t="shared" si="2"/>
        <v>4.2706203135650989E-2</v>
      </c>
      <c r="CZ37" s="14">
        <f t="shared" si="7"/>
        <v>0.85729379686434903</v>
      </c>
      <c r="DA37" s="15">
        <f t="shared" si="11"/>
        <v>1257.6500000000001</v>
      </c>
      <c r="DB37" s="15">
        <f t="shared" si="12"/>
        <v>1467</v>
      </c>
      <c r="DD37" s="120"/>
    </row>
    <row r="38" spans="94:108" ht="15.75" x14ac:dyDescent="0.25">
      <c r="CP38" s="79" t="s">
        <v>36</v>
      </c>
      <c r="CQ38" s="79" t="s">
        <v>33</v>
      </c>
      <c r="CR38" s="16">
        <v>1317</v>
      </c>
      <c r="CS38" s="16">
        <v>2046</v>
      </c>
      <c r="CT38" s="108">
        <v>0.64369501466275658</v>
      </c>
      <c r="CU38" s="119">
        <v>1681</v>
      </c>
      <c r="CV38" s="119">
        <v>1886</v>
      </c>
      <c r="CW38" s="18">
        <f t="shared" si="0"/>
        <v>0.89130434782608692</v>
      </c>
      <c r="CX38" s="13">
        <f t="shared" si="10"/>
        <v>8.6956521739131043E-3</v>
      </c>
      <c r="CY38" s="13">
        <f t="shared" si="2"/>
        <v>4.3478260869565521E-3</v>
      </c>
      <c r="CZ38" s="14">
        <f t="shared" si="7"/>
        <v>0.89565217391304341</v>
      </c>
      <c r="DA38" s="15">
        <f t="shared" si="11"/>
        <v>1689.1999999999998</v>
      </c>
      <c r="DB38" s="15">
        <f t="shared" si="12"/>
        <v>1886</v>
      </c>
      <c r="DD38" s="120"/>
    </row>
    <row r="39" spans="94:108" ht="15.75" x14ac:dyDescent="0.25">
      <c r="CP39" s="79" t="s">
        <v>37</v>
      </c>
      <c r="CQ39" s="79" t="s">
        <v>33</v>
      </c>
      <c r="CR39" s="16">
        <v>2283</v>
      </c>
      <c r="CS39" s="16">
        <v>2580</v>
      </c>
      <c r="CT39" s="108">
        <v>0.8848837209302326</v>
      </c>
      <c r="CU39" s="119">
        <v>1640</v>
      </c>
      <c r="CV39" s="119">
        <v>1848</v>
      </c>
      <c r="CW39" s="18">
        <f t="shared" si="0"/>
        <v>0.88744588744588748</v>
      </c>
      <c r="CX39" s="13">
        <f t="shared" si="10"/>
        <v>1.255411255411254E-2</v>
      </c>
      <c r="CY39" s="13">
        <f t="shared" si="2"/>
        <v>6.2770562770562699E-3</v>
      </c>
      <c r="CZ39" s="14">
        <f t="shared" si="7"/>
        <v>0.8937229437229437</v>
      </c>
      <c r="DA39" s="15">
        <f t="shared" si="11"/>
        <v>1651.6</v>
      </c>
      <c r="DB39" s="15">
        <f t="shared" si="12"/>
        <v>1848</v>
      </c>
      <c r="DD39" s="120"/>
    </row>
    <row r="40" spans="94:108" ht="15.75" x14ac:dyDescent="0.25">
      <c r="CP40" s="79" t="s">
        <v>38</v>
      </c>
      <c r="CQ40" s="79" t="s">
        <v>33</v>
      </c>
      <c r="CR40" s="16">
        <v>188</v>
      </c>
      <c r="CS40" s="16">
        <v>378</v>
      </c>
      <c r="CT40" s="108">
        <v>0.49735449735449733</v>
      </c>
      <c r="CU40" s="119">
        <v>350</v>
      </c>
      <c r="CV40" s="119">
        <v>443</v>
      </c>
      <c r="CW40" s="18">
        <f t="shared" si="0"/>
        <v>0.79006772009029347</v>
      </c>
      <c r="CX40" s="13">
        <f t="shared" si="10"/>
        <v>0.10993227990970655</v>
      </c>
      <c r="CY40" s="13">
        <f t="shared" si="2"/>
        <v>5.4966139954853277E-2</v>
      </c>
      <c r="CZ40" s="14">
        <f t="shared" si="7"/>
        <v>0.8450338600451468</v>
      </c>
      <c r="DA40" s="15">
        <f t="shared" si="11"/>
        <v>374.35</v>
      </c>
      <c r="DB40" s="15">
        <f t="shared" si="12"/>
        <v>443</v>
      </c>
      <c r="DD40" s="120"/>
    </row>
    <row r="41" spans="94:108" ht="15.75" x14ac:dyDescent="0.25">
      <c r="CP41" s="79" t="s">
        <v>39</v>
      </c>
      <c r="CQ41" s="79" t="s">
        <v>33</v>
      </c>
      <c r="CR41" s="16">
        <v>971</v>
      </c>
      <c r="CS41" s="16">
        <v>1103</v>
      </c>
      <c r="CT41" s="108">
        <v>0.88032638259292839</v>
      </c>
      <c r="CU41" s="119">
        <v>1083</v>
      </c>
      <c r="CV41" s="119">
        <v>1298</v>
      </c>
      <c r="CW41" s="18">
        <f t="shared" si="0"/>
        <v>0.83436055469953774</v>
      </c>
      <c r="CX41" s="13">
        <f t="shared" si="10"/>
        <v>6.5639445300462285E-2</v>
      </c>
      <c r="CY41" s="13">
        <f t="shared" si="2"/>
        <v>3.2819722650231142E-2</v>
      </c>
      <c r="CZ41" s="14">
        <f t="shared" si="7"/>
        <v>0.86718027734976888</v>
      </c>
      <c r="DA41" s="15">
        <f t="shared" si="11"/>
        <v>1125.5999999999999</v>
      </c>
      <c r="DB41" s="15">
        <f t="shared" si="12"/>
        <v>1298</v>
      </c>
      <c r="DD41" s="120"/>
    </row>
  </sheetData>
  <mergeCells count="15">
    <mergeCell ref="CQ5:DB5"/>
    <mergeCell ref="CP2:CP3"/>
    <mergeCell ref="CQ2:CW3"/>
    <mergeCell ref="CY2:DB2"/>
    <mergeCell ref="CY3:DB3"/>
    <mergeCell ref="CQ4:DB4"/>
    <mergeCell ref="CZ7:CZ8"/>
    <mergeCell ref="DA7:DA8"/>
    <mergeCell ref="DB7:DB8"/>
    <mergeCell ref="CP7:CP8"/>
    <mergeCell ref="CQ7:CQ8"/>
    <mergeCell ref="CR7:CT7"/>
    <mergeCell ref="CU7:CW7"/>
    <mergeCell ref="CX7:CX8"/>
    <mergeCell ref="CY7:CY8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DD2:DP41"/>
  <sheetViews>
    <sheetView showGridLines="0" topLeftCell="DC1" zoomScaleNormal="100" workbookViewId="0">
      <selection activeCell="DJ10" sqref="DJ10"/>
    </sheetView>
  </sheetViews>
  <sheetFormatPr baseColWidth="10" defaultRowHeight="15" outlineLevelCol="1" x14ac:dyDescent="0.25"/>
  <cols>
    <col min="1" max="106" width="0" hidden="1" customWidth="1"/>
    <col min="107" max="107" width="2.140625" customWidth="1"/>
    <col min="108" max="108" width="33.85546875" customWidth="1"/>
    <col min="109" max="112" width="11.42578125" hidden="1" customWidth="1" outlineLevel="1"/>
    <col min="113" max="113" width="15.7109375" customWidth="1" collapsed="1"/>
    <col min="114" max="120" width="15.7109375" customWidth="1"/>
  </cols>
  <sheetData>
    <row r="2" spans="108:120" x14ac:dyDescent="0.25">
      <c r="DD2" s="724" t="s">
        <v>103</v>
      </c>
      <c r="DE2" s="597" t="s">
        <v>66</v>
      </c>
      <c r="DF2" s="597"/>
      <c r="DG2" s="597"/>
      <c r="DH2" s="597"/>
      <c r="DI2" s="597"/>
      <c r="DJ2" s="597"/>
      <c r="DK2" s="597"/>
      <c r="DL2" s="106" t="s">
        <v>3</v>
      </c>
      <c r="DM2" s="725" t="s">
        <v>134</v>
      </c>
      <c r="DN2" s="725"/>
      <c r="DO2" s="725"/>
      <c r="DP2" s="725"/>
    </row>
    <row r="3" spans="108:120" ht="43.5" customHeight="1" x14ac:dyDescent="0.25">
      <c r="DD3" s="724"/>
      <c r="DE3" s="597"/>
      <c r="DF3" s="597"/>
      <c r="DG3" s="597"/>
      <c r="DH3" s="597"/>
      <c r="DI3" s="597"/>
      <c r="DJ3" s="597"/>
      <c r="DK3" s="597"/>
      <c r="DL3" s="107">
        <v>0.43</v>
      </c>
      <c r="DM3" s="725" t="s">
        <v>135</v>
      </c>
      <c r="DN3" s="725"/>
      <c r="DO3" s="725"/>
      <c r="DP3" s="725"/>
    </row>
    <row r="4" spans="108:120" ht="33.75" customHeight="1" x14ac:dyDescent="0.25">
      <c r="DD4" s="105" t="s">
        <v>1</v>
      </c>
      <c r="DE4" s="597" t="s">
        <v>67</v>
      </c>
      <c r="DF4" s="597"/>
      <c r="DG4" s="597"/>
      <c r="DH4" s="597"/>
      <c r="DI4" s="597"/>
      <c r="DJ4" s="597"/>
      <c r="DK4" s="597"/>
      <c r="DL4" s="597"/>
      <c r="DM4" s="597"/>
      <c r="DN4" s="597"/>
      <c r="DO4" s="597"/>
      <c r="DP4" s="597"/>
    </row>
    <row r="5" spans="108:120" x14ac:dyDescent="0.25">
      <c r="DD5" s="105" t="s">
        <v>2</v>
      </c>
      <c r="DE5" s="597" t="s">
        <v>72</v>
      </c>
      <c r="DF5" s="597"/>
      <c r="DG5" s="597"/>
      <c r="DH5" s="597"/>
      <c r="DI5" s="597"/>
      <c r="DJ5" s="597"/>
      <c r="DK5" s="597"/>
      <c r="DL5" s="597"/>
      <c r="DM5" s="597"/>
      <c r="DN5" s="597"/>
      <c r="DO5" s="597"/>
      <c r="DP5" s="597"/>
    </row>
    <row r="7" spans="108:120" x14ac:dyDescent="0.25">
      <c r="DD7" s="716" t="s">
        <v>40</v>
      </c>
      <c r="DE7" s="716" t="s">
        <v>41</v>
      </c>
      <c r="DF7" s="718" t="s">
        <v>84</v>
      </c>
      <c r="DG7" s="719"/>
      <c r="DH7" s="720"/>
      <c r="DI7" s="718" t="s">
        <v>143</v>
      </c>
      <c r="DJ7" s="719"/>
      <c r="DK7" s="720"/>
      <c r="DL7" s="740" t="s">
        <v>43</v>
      </c>
      <c r="DM7" s="741" t="s">
        <v>44</v>
      </c>
      <c r="DN7" s="698" t="s">
        <v>81</v>
      </c>
      <c r="DO7" s="698" t="s">
        <v>82</v>
      </c>
      <c r="DP7" s="698" t="s">
        <v>83</v>
      </c>
    </row>
    <row r="8" spans="108:120" x14ac:dyDescent="0.25">
      <c r="DD8" s="717"/>
      <c r="DE8" s="717"/>
      <c r="DF8" s="1" t="s">
        <v>82</v>
      </c>
      <c r="DG8" s="1" t="s">
        <v>83</v>
      </c>
      <c r="DH8" s="1" t="s">
        <v>87</v>
      </c>
      <c r="DI8" s="1" t="s">
        <v>82</v>
      </c>
      <c r="DJ8" s="1" t="s">
        <v>83</v>
      </c>
      <c r="DK8" s="1" t="s">
        <v>87</v>
      </c>
      <c r="DL8" s="717"/>
      <c r="DM8" s="742"/>
      <c r="DN8" s="699"/>
      <c r="DO8" s="699"/>
      <c r="DP8" s="699"/>
    </row>
    <row r="9" spans="108:120" ht="15.75" x14ac:dyDescent="0.25">
      <c r="DD9" s="79" t="s">
        <v>6</v>
      </c>
      <c r="DE9" s="79" t="s">
        <v>7</v>
      </c>
      <c r="DF9" s="71">
        <v>3912</v>
      </c>
      <c r="DG9" s="96">
        <v>7979.6989999999996</v>
      </c>
      <c r="DH9" s="82">
        <v>0.49024405557151968</v>
      </c>
      <c r="DI9" s="119">
        <v>2823</v>
      </c>
      <c r="DJ9" s="119">
        <v>11227.577000000001</v>
      </c>
      <c r="DK9" s="17">
        <f>DI9/DJ9</f>
        <v>0.25143448136672764</v>
      </c>
      <c r="DL9" s="13">
        <f>IF(DK9&lt;$DL$3,$DL$3-DK9,"-")</f>
        <v>0.17856551863327236</v>
      </c>
      <c r="DM9" s="13">
        <f>IFERROR(DL9*0.3,"-")</f>
        <v>5.3569655589981703E-2</v>
      </c>
      <c r="DN9" s="53">
        <f>IFERROR((DM9+DK9),IF(DK9&gt;=DK9,DK9))</f>
        <v>0.30500413695670936</v>
      </c>
      <c r="DO9" s="15">
        <f>DP9*DN9</f>
        <v>3424.4574330000005</v>
      </c>
      <c r="DP9" s="15">
        <f>DJ9</f>
        <v>11227.577000000001</v>
      </c>
    </row>
    <row r="10" spans="108:120" ht="15.75" x14ac:dyDescent="0.25">
      <c r="DD10" s="79" t="s">
        <v>8</v>
      </c>
      <c r="DE10" s="79" t="s">
        <v>7</v>
      </c>
      <c r="DF10" s="71">
        <v>1287</v>
      </c>
      <c r="DG10" s="96">
        <v>4032.3879999999999</v>
      </c>
      <c r="DH10" s="82">
        <v>0.31916571520399328</v>
      </c>
      <c r="DI10" s="119">
        <v>1367</v>
      </c>
      <c r="DJ10" s="119">
        <v>5643.1970000000001</v>
      </c>
      <c r="DK10" s="17">
        <f t="shared" ref="DK10:DK25" si="0">DI10/DJ10</f>
        <v>0.24223857504885971</v>
      </c>
      <c r="DL10" s="13">
        <f t="shared" ref="DL10:DL25" si="1">IF(DK10&lt;$DL$3,$DL$3-DK10,"-")</f>
        <v>0.18776142495114029</v>
      </c>
      <c r="DM10" s="13">
        <f t="shared" ref="DM10:DM25" si="2">IFERROR(DL10*0.3,"-")</f>
        <v>5.6328427485342086E-2</v>
      </c>
      <c r="DN10" s="53">
        <f t="shared" ref="DN10:DN33" si="3">IFERROR((DM10+DK10),IF(DK10&gt;=DK10,DK10))</f>
        <v>0.29856700253420176</v>
      </c>
      <c r="DO10" s="15">
        <f t="shared" ref="DO10:DO25" si="4">DP10*DN10</f>
        <v>1684.8724129999998</v>
      </c>
      <c r="DP10" s="15">
        <f t="shared" ref="DP10:DP25" si="5">DJ10</f>
        <v>5643.1970000000001</v>
      </c>
    </row>
    <row r="11" spans="108:120" ht="15.75" x14ac:dyDescent="0.25">
      <c r="DD11" s="79" t="s">
        <v>9</v>
      </c>
      <c r="DE11" s="79" t="s">
        <v>7</v>
      </c>
      <c r="DF11" s="71">
        <v>2601</v>
      </c>
      <c r="DG11" s="96">
        <v>4369.3500000000004</v>
      </c>
      <c r="DH11" s="82">
        <v>0.59528305125476322</v>
      </c>
      <c r="DI11" s="119">
        <v>2460</v>
      </c>
      <c r="DJ11" s="119">
        <v>6106</v>
      </c>
      <c r="DK11" s="17">
        <f t="shared" si="0"/>
        <v>0.40288241074353093</v>
      </c>
      <c r="DL11" s="13">
        <f t="shared" si="1"/>
        <v>2.7117589256469066E-2</v>
      </c>
      <c r="DM11" s="13">
        <f t="shared" si="2"/>
        <v>8.1352767769407187E-3</v>
      </c>
      <c r="DN11" s="53">
        <f t="shared" si="3"/>
        <v>0.41101768752047163</v>
      </c>
      <c r="DO11" s="15">
        <f t="shared" si="4"/>
        <v>2509.674</v>
      </c>
      <c r="DP11" s="15">
        <f t="shared" si="5"/>
        <v>6106</v>
      </c>
    </row>
    <row r="12" spans="108:120" ht="15.75" x14ac:dyDescent="0.25">
      <c r="DD12" s="79" t="s">
        <v>10</v>
      </c>
      <c r="DE12" s="79" t="s">
        <v>7</v>
      </c>
      <c r="DF12" s="71">
        <v>498</v>
      </c>
      <c r="DG12" s="96">
        <v>749.56299999999987</v>
      </c>
      <c r="DH12" s="82">
        <v>0.66438711622638802</v>
      </c>
      <c r="DI12" s="119">
        <v>408</v>
      </c>
      <c r="DJ12" s="119">
        <v>1068</v>
      </c>
      <c r="DK12" s="17">
        <f t="shared" si="0"/>
        <v>0.38202247191011235</v>
      </c>
      <c r="DL12" s="13">
        <f t="shared" si="1"/>
        <v>4.7977528089887644E-2</v>
      </c>
      <c r="DM12" s="13">
        <f t="shared" si="2"/>
        <v>1.4393258426966293E-2</v>
      </c>
      <c r="DN12" s="53">
        <f t="shared" si="3"/>
        <v>0.39641573033707866</v>
      </c>
      <c r="DO12" s="15">
        <f t="shared" si="4"/>
        <v>423.37200000000001</v>
      </c>
      <c r="DP12" s="15">
        <f t="shared" si="5"/>
        <v>1068</v>
      </c>
    </row>
    <row r="13" spans="108:120" ht="15.75" x14ac:dyDescent="0.25">
      <c r="DD13" s="79" t="s">
        <v>11</v>
      </c>
      <c r="DE13" s="79" t="s">
        <v>7</v>
      </c>
      <c r="DF13" s="71">
        <v>2192</v>
      </c>
      <c r="DG13" s="96">
        <v>3151.8220000000001</v>
      </c>
      <c r="DH13" s="82">
        <v>0.69547074676171428</v>
      </c>
      <c r="DI13" s="119">
        <v>2283</v>
      </c>
      <c r="DJ13" s="119">
        <v>4348</v>
      </c>
      <c r="DK13" s="17">
        <f t="shared" si="0"/>
        <v>0.52506899724011036</v>
      </c>
      <c r="DL13" s="13" t="str">
        <f t="shared" si="1"/>
        <v>-</v>
      </c>
      <c r="DM13" s="13" t="str">
        <f t="shared" si="2"/>
        <v>-</v>
      </c>
      <c r="DN13" s="53">
        <f t="shared" si="3"/>
        <v>0.52506899724011036</v>
      </c>
      <c r="DO13" s="15">
        <f t="shared" si="4"/>
        <v>2283</v>
      </c>
      <c r="DP13" s="15">
        <f t="shared" si="5"/>
        <v>4348</v>
      </c>
    </row>
    <row r="14" spans="108:120" ht="15.75" x14ac:dyDescent="0.25">
      <c r="DD14" s="79" t="s">
        <v>12</v>
      </c>
      <c r="DE14" s="79" t="s">
        <v>7</v>
      </c>
      <c r="DF14" s="71">
        <v>669</v>
      </c>
      <c r="DG14" s="96">
        <v>1998.7489999999998</v>
      </c>
      <c r="DH14" s="82">
        <v>0.33470936070512108</v>
      </c>
      <c r="DI14" s="119">
        <v>893</v>
      </c>
      <c r="DJ14" s="119">
        <v>2670</v>
      </c>
      <c r="DK14" s="17">
        <f t="shared" si="0"/>
        <v>0.33445692883895128</v>
      </c>
      <c r="DL14" s="13">
        <f t="shared" si="1"/>
        <v>9.5543071161048709E-2</v>
      </c>
      <c r="DM14" s="13">
        <f t="shared" si="2"/>
        <v>2.8662921348314611E-2</v>
      </c>
      <c r="DN14" s="53">
        <f t="shared" si="3"/>
        <v>0.36311985018726589</v>
      </c>
      <c r="DO14" s="15">
        <f t="shared" si="4"/>
        <v>969.53</v>
      </c>
      <c r="DP14" s="15">
        <f t="shared" si="5"/>
        <v>2670</v>
      </c>
    </row>
    <row r="15" spans="108:120" ht="15.75" x14ac:dyDescent="0.25">
      <c r="DD15" s="79" t="s">
        <v>13</v>
      </c>
      <c r="DE15" s="79" t="s">
        <v>7</v>
      </c>
      <c r="DF15" s="71">
        <v>1749</v>
      </c>
      <c r="DG15" s="96">
        <v>3732.8909999999996</v>
      </c>
      <c r="DH15" s="82">
        <v>0.46853765620265908</v>
      </c>
      <c r="DI15" s="119">
        <v>1489</v>
      </c>
      <c r="DJ15" s="119">
        <v>4987</v>
      </c>
      <c r="DK15" s="17">
        <f t="shared" si="0"/>
        <v>0.29857629837577704</v>
      </c>
      <c r="DL15" s="13">
        <f t="shared" si="1"/>
        <v>0.13142370162422295</v>
      </c>
      <c r="DM15" s="13">
        <f t="shared" si="2"/>
        <v>3.9427110487266888E-2</v>
      </c>
      <c r="DN15" s="53">
        <f t="shared" si="3"/>
        <v>0.33800340886304392</v>
      </c>
      <c r="DO15" s="15">
        <f t="shared" si="4"/>
        <v>1685.623</v>
      </c>
      <c r="DP15" s="15">
        <f t="shared" si="5"/>
        <v>4987</v>
      </c>
    </row>
    <row r="16" spans="108:120" ht="15.75" x14ac:dyDescent="0.25">
      <c r="DD16" s="79" t="s">
        <v>14</v>
      </c>
      <c r="DE16" s="79" t="s">
        <v>7</v>
      </c>
      <c r="DF16" s="71">
        <v>703</v>
      </c>
      <c r="DG16" s="96">
        <v>1861.76</v>
      </c>
      <c r="DH16" s="82">
        <v>0.37759969061533172</v>
      </c>
      <c r="DI16" s="119">
        <v>890</v>
      </c>
      <c r="DJ16" s="119">
        <v>2628</v>
      </c>
      <c r="DK16" s="17">
        <f t="shared" si="0"/>
        <v>0.33866057838660579</v>
      </c>
      <c r="DL16" s="13">
        <f t="shared" si="1"/>
        <v>9.1339421613394201E-2</v>
      </c>
      <c r="DM16" s="13">
        <f t="shared" si="2"/>
        <v>2.740182648401826E-2</v>
      </c>
      <c r="DN16" s="53">
        <f t="shared" si="3"/>
        <v>0.36606240487062403</v>
      </c>
      <c r="DO16" s="15">
        <f t="shared" si="4"/>
        <v>962.01199999999994</v>
      </c>
      <c r="DP16" s="15">
        <f t="shared" si="5"/>
        <v>2628</v>
      </c>
    </row>
    <row r="17" spans="108:120" ht="15.75" x14ac:dyDescent="0.25">
      <c r="DD17" s="79" t="s">
        <v>15</v>
      </c>
      <c r="DE17" s="79" t="s">
        <v>7</v>
      </c>
      <c r="DF17" s="71">
        <v>479</v>
      </c>
      <c r="DG17" s="96">
        <v>948.01</v>
      </c>
      <c r="DH17" s="82">
        <v>0.50526893176232324</v>
      </c>
      <c r="DI17" s="119">
        <v>527</v>
      </c>
      <c r="DJ17" s="119">
        <v>1129</v>
      </c>
      <c r="DK17" s="17">
        <f t="shared" si="0"/>
        <v>0.46678476527900797</v>
      </c>
      <c r="DL17" s="13" t="str">
        <f t="shared" si="1"/>
        <v>-</v>
      </c>
      <c r="DM17" s="13" t="str">
        <f t="shared" si="2"/>
        <v>-</v>
      </c>
      <c r="DN17" s="53">
        <f t="shared" si="3"/>
        <v>0.46678476527900797</v>
      </c>
      <c r="DO17" s="15">
        <f t="shared" si="4"/>
        <v>527</v>
      </c>
      <c r="DP17" s="15">
        <f t="shared" si="5"/>
        <v>1129</v>
      </c>
    </row>
    <row r="18" spans="108:120" ht="15.75" x14ac:dyDescent="0.25">
      <c r="DD18" s="79" t="s">
        <v>16</v>
      </c>
      <c r="DE18" s="79" t="s">
        <v>7</v>
      </c>
      <c r="DF18" s="71">
        <v>1114</v>
      </c>
      <c r="DG18" s="96">
        <v>1617.7750000000001</v>
      </c>
      <c r="DH18" s="82">
        <v>0.68860008344794543</v>
      </c>
      <c r="DI18" s="119">
        <v>1397</v>
      </c>
      <c r="DJ18" s="119">
        <v>2260</v>
      </c>
      <c r="DK18" s="17">
        <f t="shared" si="0"/>
        <v>0.61814159292035398</v>
      </c>
      <c r="DL18" s="13" t="str">
        <f t="shared" si="1"/>
        <v>-</v>
      </c>
      <c r="DM18" s="13" t="str">
        <f t="shared" si="2"/>
        <v>-</v>
      </c>
      <c r="DN18" s="53">
        <f t="shared" si="3"/>
        <v>0.61814159292035398</v>
      </c>
      <c r="DO18" s="15">
        <f t="shared" si="4"/>
        <v>1397</v>
      </c>
      <c r="DP18" s="15">
        <f t="shared" si="5"/>
        <v>2260</v>
      </c>
    </row>
    <row r="19" spans="108:120" ht="15.75" x14ac:dyDescent="0.25">
      <c r="DD19" s="79" t="s">
        <v>17</v>
      </c>
      <c r="DE19" s="79" t="s">
        <v>7</v>
      </c>
      <c r="DF19" s="71">
        <v>1349</v>
      </c>
      <c r="DG19" s="96">
        <v>2509.3279999999995</v>
      </c>
      <c r="DH19" s="82">
        <v>0.53759412878667123</v>
      </c>
      <c r="DI19" s="119">
        <v>1587</v>
      </c>
      <c r="DJ19" s="119">
        <v>3484</v>
      </c>
      <c r="DK19" s="17">
        <f t="shared" si="0"/>
        <v>0.45551090700344432</v>
      </c>
      <c r="DL19" s="13" t="str">
        <f t="shared" si="1"/>
        <v>-</v>
      </c>
      <c r="DM19" s="13" t="str">
        <f t="shared" si="2"/>
        <v>-</v>
      </c>
      <c r="DN19" s="53">
        <f t="shared" si="3"/>
        <v>0.45551090700344432</v>
      </c>
      <c r="DO19" s="15">
        <f t="shared" si="4"/>
        <v>1587</v>
      </c>
      <c r="DP19" s="15">
        <f t="shared" si="5"/>
        <v>3484</v>
      </c>
    </row>
    <row r="20" spans="108:120" ht="15.75" x14ac:dyDescent="0.25">
      <c r="DD20" s="79" t="s">
        <v>18</v>
      </c>
      <c r="DE20" s="79" t="s">
        <v>7</v>
      </c>
      <c r="DF20" s="71">
        <v>2256</v>
      </c>
      <c r="DG20" s="96">
        <v>3636.902</v>
      </c>
      <c r="DH20" s="82">
        <v>0.62030816337641215</v>
      </c>
      <c r="DI20" s="119">
        <v>2068</v>
      </c>
      <c r="DJ20" s="119">
        <v>4946</v>
      </c>
      <c r="DK20" s="17">
        <f t="shared" si="0"/>
        <v>0.41811564900930043</v>
      </c>
      <c r="DL20" s="13">
        <f t="shared" si="1"/>
        <v>1.1884350990699566E-2</v>
      </c>
      <c r="DM20" s="13">
        <f t="shared" si="2"/>
        <v>3.5653052972098695E-3</v>
      </c>
      <c r="DN20" s="53">
        <f t="shared" si="3"/>
        <v>0.42168095430651031</v>
      </c>
      <c r="DO20" s="15">
        <f t="shared" si="4"/>
        <v>2085.634</v>
      </c>
      <c r="DP20" s="15">
        <f t="shared" si="5"/>
        <v>4946</v>
      </c>
    </row>
    <row r="21" spans="108:120" ht="15.75" x14ac:dyDescent="0.25">
      <c r="DD21" s="79" t="s">
        <v>19</v>
      </c>
      <c r="DE21" s="79" t="s">
        <v>7</v>
      </c>
      <c r="DF21" s="71">
        <v>1173</v>
      </c>
      <c r="DG21" s="96">
        <v>1639</v>
      </c>
      <c r="DH21" s="82">
        <v>0.71568029286150092</v>
      </c>
      <c r="DI21" s="119">
        <v>1180</v>
      </c>
      <c r="DJ21" s="119">
        <v>2291</v>
      </c>
      <c r="DK21" s="17">
        <f t="shared" si="0"/>
        <v>0.51505892623308602</v>
      </c>
      <c r="DL21" s="13" t="str">
        <f t="shared" si="1"/>
        <v>-</v>
      </c>
      <c r="DM21" s="13" t="str">
        <f t="shared" si="2"/>
        <v>-</v>
      </c>
      <c r="DN21" s="53">
        <f t="shared" si="3"/>
        <v>0.51505892623308602</v>
      </c>
      <c r="DO21" s="15">
        <f t="shared" si="4"/>
        <v>1180</v>
      </c>
      <c r="DP21" s="15">
        <f t="shared" si="5"/>
        <v>2291</v>
      </c>
    </row>
    <row r="22" spans="108:120" ht="15.75" x14ac:dyDescent="0.25">
      <c r="DD22" s="79" t="s">
        <v>20</v>
      </c>
      <c r="DE22" s="79" t="s">
        <v>7</v>
      </c>
      <c r="DF22" s="71">
        <v>758</v>
      </c>
      <c r="DG22" s="96">
        <v>921.19399999999996</v>
      </c>
      <c r="DH22" s="82">
        <v>0.82284513359835176</v>
      </c>
      <c r="DI22" s="119">
        <v>670</v>
      </c>
      <c r="DJ22" s="119">
        <v>1263</v>
      </c>
      <c r="DK22" s="17">
        <f t="shared" si="0"/>
        <v>0.53048297703879654</v>
      </c>
      <c r="DL22" s="13" t="str">
        <f t="shared" si="1"/>
        <v>-</v>
      </c>
      <c r="DM22" s="13" t="str">
        <f t="shared" si="2"/>
        <v>-</v>
      </c>
      <c r="DN22" s="53">
        <f t="shared" si="3"/>
        <v>0.53048297703879654</v>
      </c>
      <c r="DO22" s="15">
        <f t="shared" si="4"/>
        <v>670</v>
      </c>
      <c r="DP22" s="15">
        <f t="shared" si="5"/>
        <v>1263</v>
      </c>
    </row>
    <row r="23" spans="108:120" ht="15.75" x14ac:dyDescent="0.25">
      <c r="DD23" s="79" t="s">
        <v>21</v>
      </c>
      <c r="DE23" s="79" t="s">
        <v>7</v>
      </c>
      <c r="DF23" s="71">
        <v>0</v>
      </c>
      <c r="DG23" s="96">
        <v>797.86899999999991</v>
      </c>
      <c r="DH23" s="82">
        <v>0</v>
      </c>
      <c r="DI23" s="119">
        <v>531</v>
      </c>
      <c r="DJ23" s="119">
        <v>1086</v>
      </c>
      <c r="DK23" s="17">
        <f t="shared" si="0"/>
        <v>0.4889502762430939</v>
      </c>
      <c r="DL23" s="13" t="str">
        <f t="shared" si="1"/>
        <v>-</v>
      </c>
      <c r="DM23" s="13" t="str">
        <f t="shared" si="2"/>
        <v>-</v>
      </c>
      <c r="DN23" s="53">
        <f t="shared" si="3"/>
        <v>0.4889502762430939</v>
      </c>
      <c r="DO23" s="15">
        <f t="shared" si="4"/>
        <v>531</v>
      </c>
      <c r="DP23" s="15">
        <f t="shared" si="5"/>
        <v>1086</v>
      </c>
    </row>
    <row r="24" spans="108:120" ht="15.75" x14ac:dyDescent="0.25">
      <c r="DD24" s="79" t="s">
        <v>22</v>
      </c>
      <c r="DE24" s="79" t="s">
        <v>7</v>
      </c>
      <c r="DF24" s="71">
        <v>725</v>
      </c>
      <c r="DG24" s="96">
        <v>1138.855</v>
      </c>
      <c r="DH24" s="82">
        <v>0.63660430871357632</v>
      </c>
      <c r="DI24" s="119">
        <v>653</v>
      </c>
      <c r="DJ24" s="119">
        <v>1650</v>
      </c>
      <c r="DK24" s="17">
        <f t="shared" si="0"/>
        <v>0.39575757575757575</v>
      </c>
      <c r="DL24" s="13">
        <f t="shared" si="1"/>
        <v>3.4242424242424241E-2</v>
      </c>
      <c r="DM24" s="13">
        <f t="shared" si="2"/>
        <v>1.0272727272727272E-2</v>
      </c>
      <c r="DN24" s="53">
        <f t="shared" si="3"/>
        <v>0.40603030303030302</v>
      </c>
      <c r="DO24" s="15">
        <f t="shared" si="4"/>
        <v>669.94999999999993</v>
      </c>
      <c r="DP24" s="15">
        <f t="shared" si="5"/>
        <v>1650</v>
      </c>
    </row>
    <row r="25" spans="108:120" ht="15.75" x14ac:dyDescent="0.25">
      <c r="DD25" s="79" t="s">
        <v>23</v>
      </c>
      <c r="DE25" s="79" t="s">
        <v>7</v>
      </c>
      <c r="DF25" s="71">
        <v>1209</v>
      </c>
      <c r="DG25" s="96">
        <v>1740.4919999999997</v>
      </c>
      <c r="DH25" s="82">
        <v>0.69463117325445922</v>
      </c>
      <c r="DI25" s="119">
        <v>1046</v>
      </c>
      <c r="DJ25" s="119">
        <v>2354</v>
      </c>
      <c r="DK25" s="17">
        <f t="shared" si="0"/>
        <v>0.44435004248088361</v>
      </c>
      <c r="DL25" s="13" t="str">
        <f t="shared" si="1"/>
        <v>-</v>
      </c>
      <c r="DM25" s="13" t="str">
        <f t="shared" si="2"/>
        <v>-</v>
      </c>
      <c r="DN25" s="53">
        <f t="shared" si="3"/>
        <v>0.44435004248088361</v>
      </c>
      <c r="DO25" s="15">
        <f t="shared" si="4"/>
        <v>1046</v>
      </c>
      <c r="DP25" s="15">
        <f t="shared" si="5"/>
        <v>2354</v>
      </c>
    </row>
    <row r="26" spans="108:120" ht="15.75" x14ac:dyDescent="0.25">
      <c r="DD26" s="80"/>
      <c r="DE26" s="90" t="s">
        <v>7</v>
      </c>
      <c r="DF26" s="73">
        <v>22674</v>
      </c>
      <c r="DG26" s="97">
        <v>42825.647000000004</v>
      </c>
      <c r="DH26" s="85">
        <v>0.52944909390394024</v>
      </c>
      <c r="DI26" s="118">
        <f>SUM(DI9:DI25)</f>
        <v>22272</v>
      </c>
      <c r="DJ26" s="118">
        <f>SUM(DJ9:DJ25)</f>
        <v>59140.774000000005</v>
      </c>
      <c r="DK26" s="32">
        <f>DI26/DJ26</f>
        <v>0.3765929745863657</v>
      </c>
      <c r="DL26" s="28"/>
      <c r="DM26" s="28"/>
      <c r="DN26" s="113"/>
      <c r="DO26" s="28"/>
      <c r="DP26" s="29"/>
    </row>
    <row r="27" spans="108:120" ht="15.75" x14ac:dyDescent="0.25">
      <c r="DD27" s="79" t="s">
        <v>24</v>
      </c>
      <c r="DE27" s="79" t="s">
        <v>25</v>
      </c>
      <c r="DF27" s="71">
        <v>562</v>
      </c>
      <c r="DG27" s="96">
        <v>1191.326</v>
      </c>
      <c r="DH27" s="82">
        <v>0.47174325079785046</v>
      </c>
      <c r="DI27" s="119">
        <v>876</v>
      </c>
      <c r="DJ27" s="119">
        <v>1653</v>
      </c>
      <c r="DK27" s="17">
        <f>DI27/DJ27</f>
        <v>0.52994555353901995</v>
      </c>
      <c r="DL27" s="13" t="str">
        <f>IF(DK27&lt;$DL$3,$DL$3-DK27,"-")</f>
        <v>-</v>
      </c>
      <c r="DM27" s="13" t="str">
        <f>IFERROR(DL27*0.3,"-")</f>
        <v>-</v>
      </c>
      <c r="DN27" s="53">
        <f t="shared" si="3"/>
        <v>0.52994555353901995</v>
      </c>
      <c r="DO27" s="15">
        <f>DP27*DN27</f>
        <v>876</v>
      </c>
      <c r="DP27" s="15">
        <f>DJ27</f>
        <v>1653</v>
      </c>
    </row>
    <row r="28" spans="108:120" ht="15.75" x14ac:dyDescent="0.25">
      <c r="DD28" s="79" t="s">
        <v>26</v>
      </c>
      <c r="DE28" s="79" t="s">
        <v>25</v>
      </c>
      <c r="DF28" s="71">
        <v>378</v>
      </c>
      <c r="DG28" s="96">
        <v>490.60599999999999</v>
      </c>
      <c r="DH28" s="82">
        <v>0.77047569740280386</v>
      </c>
      <c r="DI28" s="119">
        <v>409</v>
      </c>
      <c r="DJ28" s="119">
        <v>873</v>
      </c>
      <c r="DK28" s="17">
        <f t="shared" ref="DK28:DK33" si="6">DI28/DJ28</f>
        <v>0.46849942726231386</v>
      </c>
      <c r="DL28" s="13" t="str">
        <f t="shared" ref="DL28:DL33" si="7">IF(DK28&lt;$DL$3,$DL$3-DK28,"-")</f>
        <v>-</v>
      </c>
      <c r="DM28" s="13" t="str">
        <f t="shared" ref="DM28:DM33" si="8">IFERROR(DL28*0.3,"-")</f>
        <v>-</v>
      </c>
      <c r="DN28" s="53">
        <f t="shared" si="3"/>
        <v>0.46849942726231386</v>
      </c>
      <c r="DO28" s="15">
        <f t="shared" ref="DO28:DO33" si="9">DP28*DN28</f>
        <v>409</v>
      </c>
      <c r="DP28" s="15">
        <f t="shared" ref="DP28:DP33" si="10">DJ28</f>
        <v>873</v>
      </c>
    </row>
    <row r="29" spans="108:120" ht="15.75" x14ac:dyDescent="0.25">
      <c r="DD29" s="79" t="s">
        <v>27</v>
      </c>
      <c r="DE29" s="79" t="s">
        <v>25</v>
      </c>
      <c r="DF29" s="71">
        <v>1214</v>
      </c>
      <c r="DG29" s="96">
        <v>1228.027</v>
      </c>
      <c r="DH29" s="82">
        <v>0.98857761270721245</v>
      </c>
      <c r="DI29" s="119">
        <v>959</v>
      </c>
      <c r="DJ29" s="119">
        <v>1717</v>
      </c>
      <c r="DK29" s="17">
        <f t="shared" si="6"/>
        <v>0.55853232382061735</v>
      </c>
      <c r="DL29" s="13" t="str">
        <f t="shared" si="7"/>
        <v>-</v>
      </c>
      <c r="DM29" s="13" t="str">
        <f t="shared" si="8"/>
        <v>-</v>
      </c>
      <c r="DN29" s="53">
        <f t="shared" si="3"/>
        <v>0.55853232382061735</v>
      </c>
      <c r="DO29" s="15">
        <f t="shared" si="9"/>
        <v>959</v>
      </c>
      <c r="DP29" s="15">
        <f t="shared" si="10"/>
        <v>1717</v>
      </c>
    </row>
    <row r="30" spans="108:120" ht="15.75" x14ac:dyDescent="0.25">
      <c r="DD30" s="79" t="s">
        <v>28</v>
      </c>
      <c r="DE30" s="79" t="s">
        <v>25</v>
      </c>
      <c r="DF30" s="71">
        <v>900</v>
      </c>
      <c r="DG30" s="96">
        <v>1104.239</v>
      </c>
      <c r="DH30" s="82">
        <v>0.81504094675156369</v>
      </c>
      <c r="DI30" s="119">
        <v>799</v>
      </c>
      <c r="DJ30" s="119">
        <v>1580</v>
      </c>
      <c r="DK30" s="17">
        <f t="shared" si="6"/>
        <v>0.5056962025316456</v>
      </c>
      <c r="DL30" s="13" t="str">
        <f t="shared" si="7"/>
        <v>-</v>
      </c>
      <c r="DM30" s="13" t="str">
        <f t="shared" si="8"/>
        <v>-</v>
      </c>
      <c r="DN30" s="53">
        <f t="shared" si="3"/>
        <v>0.5056962025316456</v>
      </c>
      <c r="DO30" s="15">
        <f t="shared" si="9"/>
        <v>799</v>
      </c>
      <c r="DP30" s="15">
        <f t="shared" si="10"/>
        <v>1580</v>
      </c>
    </row>
    <row r="31" spans="108:120" ht="15.75" x14ac:dyDescent="0.25">
      <c r="DD31" s="79" t="s">
        <v>29</v>
      </c>
      <c r="DE31" s="79" t="s">
        <v>25</v>
      </c>
      <c r="DF31" s="71">
        <v>44</v>
      </c>
      <c r="DG31" s="96">
        <v>95.422999999999988</v>
      </c>
      <c r="DH31" s="82">
        <v>0.46110476509856119</v>
      </c>
      <c r="DI31" s="119">
        <v>37</v>
      </c>
      <c r="DJ31" s="119">
        <v>133</v>
      </c>
      <c r="DK31" s="17">
        <f t="shared" si="6"/>
        <v>0.2781954887218045</v>
      </c>
      <c r="DL31" s="13">
        <f t="shared" si="7"/>
        <v>0.1518045112781955</v>
      </c>
      <c r="DM31" s="13">
        <f t="shared" si="8"/>
        <v>4.5541353383458646E-2</v>
      </c>
      <c r="DN31" s="53">
        <f t="shared" si="3"/>
        <v>0.32373684210526316</v>
      </c>
      <c r="DO31" s="15">
        <f t="shared" si="9"/>
        <v>43.057000000000002</v>
      </c>
      <c r="DP31" s="15">
        <f t="shared" si="10"/>
        <v>133</v>
      </c>
    </row>
    <row r="32" spans="108:120" ht="15.75" x14ac:dyDescent="0.25">
      <c r="DD32" s="79" t="s">
        <v>30</v>
      </c>
      <c r="DE32" s="79" t="s">
        <v>25</v>
      </c>
      <c r="DF32" s="71">
        <v>883</v>
      </c>
      <c r="DG32" s="96">
        <v>1299.989</v>
      </c>
      <c r="DH32" s="82">
        <v>0.67923651661667905</v>
      </c>
      <c r="DI32" s="119">
        <v>762</v>
      </c>
      <c r="DJ32" s="119">
        <v>1801</v>
      </c>
      <c r="DK32" s="17">
        <f t="shared" si="6"/>
        <v>0.42309827873403666</v>
      </c>
      <c r="DL32" s="13">
        <f t="shared" si="7"/>
        <v>6.9017212659633342E-3</v>
      </c>
      <c r="DM32" s="13">
        <f t="shared" si="8"/>
        <v>2.0705163797890003E-3</v>
      </c>
      <c r="DN32" s="53">
        <f t="shared" si="3"/>
        <v>0.42516879511382566</v>
      </c>
      <c r="DO32" s="15">
        <f t="shared" si="9"/>
        <v>765.72900000000004</v>
      </c>
      <c r="DP32" s="15">
        <f t="shared" si="10"/>
        <v>1801</v>
      </c>
    </row>
    <row r="33" spans="108:120" ht="15.75" x14ac:dyDescent="0.25">
      <c r="DD33" s="79" t="s">
        <v>31</v>
      </c>
      <c r="DE33" s="79" t="s">
        <v>25</v>
      </c>
      <c r="DF33" s="71">
        <v>851</v>
      </c>
      <c r="DG33" s="96">
        <v>1236.0309999999999</v>
      </c>
      <c r="DH33" s="82">
        <v>0.68849405880596848</v>
      </c>
      <c r="DI33" s="119">
        <v>716</v>
      </c>
      <c r="DJ33" s="119">
        <v>1652</v>
      </c>
      <c r="DK33" s="17">
        <f t="shared" si="6"/>
        <v>0.43341404358353514</v>
      </c>
      <c r="DL33" s="13" t="str">
        <f t="shared" si="7"/>
        <v>-</v>
      </c>
      <c r="DM33" s="13" t="str">
        <f t="shared" si="8"/>
        <v>-</v>
      </c>
      <c r="DN33" s="53">
        <f t="shared" si="3"/>
        <v>0.43341404358353514</v>
      </c>
      <c r="DO33" s="15">
        <f t="shared" si="9"/>
        <v>716</v>
      </c>
      <c r="DP33" s="15">
        <f t="shared" si="10"/>
        <v>1652</v>
      </c>
    </row>
    <row r="34" spans="108:120" ht="15.75" x14ac:dyDescent="0.25">
      <c r="DD34" s="80"/>
      <c r="DE34" s="90" t="s">
        <v>25</v>
      </c>
      <c r="DF34" s="73">
        <v>4832</v>
      </c>
      <c r="DG34" s="97">
        <v>6645.6410000000005</v>
      </c>
      <c r="DH34" s="85">
        <v>0.72709314270812997</v>
      </c>
      <c r="DI34" s="118">
        <f>SUM(DI27:DI33)</f>
        <v>4558</v>
      </c>
      <c r="DJ34" s="118">
        <f>SUM(DJ27:DJ33)</f>
        <v>9409</v>
      </c>
      <c r="DK34" s="32">
        <f>DI34/DJ34</f>
        <v>0.48442980125411839</v>
      </c>
      <c r="DL34" s="28"/>
      <c r="DM34" s="28"/>
      <c r="DN34" s="113"/>
      <c r="DO34" s="28"/>
      <c r="DP34" s="29"/>
    </row>
    <row r="35" spans="108:120" ht="15.75" x14ac:dyDescent="0.25">
      <c r="DD35" s="79" t="s">
        <v>32</v>
      </c>
      <c r="DE35" s="79" t="s">
        <v>33</v>
      </c>
      <c r="DF35" s="71">
        <v>1668</v>
      </c>
      <c r="DG35" s="96">
        <v>4046.2809999999999</v>
      </c>
      <c r="DH35" s="82">
        <v>0.41223039131488892</v>
      </c>
      <c r="DI35" s="119">
        <v>1865</v>
      </c>
      <c r="DJ35" s="119">
        <v>5506</v>
      </c>
      <c r="DK35" s="17">
        <f>DI35/DJ35</f>
        <v>0.33872139484199054</v>
      </c>
      <c r="DL35" s="13">
        <f t="shared" ref="DL35:DL41" si="11">IF(DK35&lt;$DL$3,$DL$3-DK35,"-")</f>
        <v>9.1278605158009452E-2</v>
      </c>
      <c r="DM35" s="13">
        <f>IFERROR(DL35*0.3,"-")</f>
        <v>2.7383581547402835E-2</v>
      </c>
      <c r="DN35" s="53">
        <f t="shared" ref="DN35:DN41" si="12">IFERROR((DM35+DK35),IF(DK35&gt;=DK35,DK35))</f>
        <v>0.36610497638939338</v>
      </c>
      <c r="DO35" s="15">
        <f>DP35*DN35</f>
        <v>2015.7739999999999</v>
      </c>
      <c r="DP35" s="15">
        <f>DJ35</f>
        <v>5506</v>
      </c>
    </row>
    <row r="36" spans="108:120" ht="15.75" x14ac:dyDescent="0.25">
      <c r="DD36" s="79" t="s">
        <v>34</v>
      </c>
      <c r="DE36" s="79" t="s">
        <v>33</v>
      </c>
      <c r="DF36" s="71">
        <v>509</v>
      </c>
      <c r="DG36" s="96">
        <v>740.85299999999995</v>
      </c>
      <c r="DH36" s="82">
        <v>0.68704587819715923</v>
      </c>
      <c r="DI36" s="119">
        <v>416</v>
      </c>
      <c r="DJ36" s="119">
        <v>1019</v>
      </c>
      <c r="DK36" s="17">
        <f t="shared" ref="DK36:DK41" si="13">DI36/DJ36</f>
        <v>0.40824337585868498</v>
      </c>
      <c r="DL36" s="13">
        <f t="shared" si="11"/>
        <v>2.1756624141315017E-2</v>
      </c>
      <c r="DM36" s="13">
        <f t="shared" ref="DM36:DM41" si="14">IFERROR(DL36*0.3,"-")</f>
        <v>6.5269872423945052E-3</v>
      </c>
      <c r="DN36" s="53">
        <f t="shared" si="12"/>
        <v>0.41477036310107951</v>
      </c>
      <c r="DO36" s="15">
        <f t="shared" ref="DO36:DO41" si="15">DP36*DN36</f>
        <v>422.65100000000001</v>
      </c>
      <c r="DP36" s="15">
        <f t="shared" ref="DP36:DP41" si="16">DJ36</f>
        <v>1019</v>
      </c>
    </row>
    <row r="37" spans="108:120" ht="15.75" x14ac:dyDescent="0.25">
      <c r="DD37" s="79" t="s">
        <v>35</v>
      </c>
      <c r="DE37" s="79" t="s">
        <v>33</v>
      </c>
      <c r="DF37" s="71">
        <v>1903</v>
      </c>
      <c r="DG37" s="96">
        <v>2277.59</v>
      </c>
      <c r="DH37" s="82">
        <v>0.83553229510140103</v>
      </c>
      <c r="DI37" s="119">
        <v>1492</v>
      </c>
      <c r="DJ37" s="119">
        <v>3367</v>
      </c>
      <c r="DK37" s="17">
        <f t="shared" si="13"/>
        <v>0.4431244431244431</v>
      </c>
      <c r="DL37" s="13" t="str">
        <f t="shared" si="11"/>
        <v>-</v>
      </c>
      <c r="DM37" s="13" t="str">
        <f t="shared" si="14"/>
        <v>-</v>
      </c>
      <c r="DN37" s="53">
        <f t="shared" si="12"/>
        <v>0.4431244431244431</v>
      </c>
      <c r="DO37" s="15">
        <f t="shared" si="15"/>
        <v>1492</v>
      </c>
      <c r="DP37" s="15">
        <f t="shared" si="16"/>
        <v>3367</v>
      </c>
    </row>
    <row r="38" spans="108:120" ht="15.75" x14ac:dyDescent="0.25">
      <c r="DD38" s="79" t="s">
        <v>36</v>
      </c>
      <c r="DE38" s="79" t="s">
        <v>33</v>
      </c>
      <c r="DF38" s="71">
        <v>2644</v>
      </c>
      <c r="DG38" s="96">
        <v>4613.2309999999998</v>
      </c>
      <c r="DH38" s="82">
        <v>0.57313410059023706</v>
      </c>
      <c r="DI38" s="119">
        <v>2085</v>
      </c>
      <c r="DJ38" s="119">
        <v>6226</v>
      </c>
      <c r="DK38" s="17">
        <f t="shared" si="13"/>
        <v>0.33488596209444266</v>
      </c>
      <c r="DL38" s="13">
        <f t="shared" si="11"/>
        <v>9.5114037905557336E-2</v>
      </c>
      <c r="DM38" s="13">
        <f t="shared" si="14"/>
        <v>2.8534211371667201E-2</v>
      </c>
      <c r="DN38" s="53">
        <f t="shared" si="12"/>
        <v>0.36342017346610989</v>
      </c>
      <c r="DO38" s="15">
        <f t="shared" si="15"/>
        <v>2262.654</v>
      </c>
      <c r="DP38" s="15">
        <f t="shared" si="16"/>
        <v>6226</v>
      </c>
    </row>
    <row r="39" spans="108:120" ht="15.75" x14ac:dyDescent="0.25">
      <c r="DD39" s="79" t="s">
        <v>37</v>
      </c>
      <c r="DE39" s="79" t="s">
        <v>33</v>
      </c>
      <c r="DF39" s="71">
        <v>3587</v>
      </c>
      <c r="DG39" s="96">
        <v>5820.5099999999993</v>
      </c>
      <c r="DH39" s="82">
        <v>0.61626902109952575</v>
      </c>
      <c r="DI39" s="119">
        <v>2271</v>
      </c>
      <c r="DJ39" s="119">
        <v>7745</v>
      </c>
      <c r="DK39" s="17">
        <f t="shared" si="13"/>
        <v>0.2932214331826985</v>
      </c>
      <c r="DL39" s="13">
        <f t="shared" si="11"/>
        <v>0.13677856681730149</v>
      </c>
      <c r="DM39" s="13">
        <f t="shared" si="14"/>
        <v>4.1033570045190447E-2</v>
      </c>
      <c r="DN39" s="53">
        <f t="shared" si="12"/>
        <v>0.33425500322788892</v>
      </c>
      <c r="DO39" s="15">
        <f t="shared" si="15"/>
        <v>2588.8049999999998</v>
      </c>
      <c r="DP39" s="15">
        <f t="shared" si="16"/>
        <v>7745</v>
      </c>
    </row>
    <row r="40" spans="108:120" ht="15.75" x14ac:dyDescent="0.25">
      <c r="DD40" s="79" t="s">
        <v>38</v>
      </c>
      <c r="DE40" s="79" t="s">
        <v>33</v>
      </c>
      <c r="DF40" s="71">
        <v>532</v>
      </c>
      <c r="DG40" s="96">
        <v>972.0150000000001</v>
      </c>
      <c r="DH40" s="82">
        <v>0.54731665663595719</v>
      </c>
      <c r="DI40" s="119">
        <v>812</v>
      </c>
      <c r="DJ40" s="119">
        <v>1327</v>
      </c>
      <c r="DK40" s="17">
        <f t="shared" si="13"/>
        <v>0.611906556141673</v>
      </c>
      <c r="DL40" s="13" t="str">
        <f t="shared" si="11"/>
        <v>-</v>
      </c>
      <c r="DM40" s="13" t="str">
        <f t="shared" si="14"/>
        <v>-</v>
      </c>
      <c r="DN40" s="53">
        <f t="shared" si="12"/>
        <v>0.611906556141673</v>
      </c>
      <c r="DO40" s="15">
        <f t="shared" si="15"/>
        <v>812.00000000000011</v>
      </c>
      <c r="DP40" s="15">
        <f t="shared" si="16"/>
        <v>1327</v>
      </c>
    </row>
    <row r="41" spans="108:120" ht="15.75" x14ac:dyDescent="0.25">
      <c r="DD41" s="79" t="s">
        <v>39</v>
      </c>
      <c r="DE41" s="79" t="s">
        <v>33</v>
      </c>
      <c r="DF41" s="71">
        <v>1671</v>
      </c>
      <c r="DG41" s="96">
        <v>2124.6179999999999</v>
      </c>
      <c r="DH41" s="82">
        <v>0.78649432509749995</v>
      </c>
      <c r="DI41" s="119">
        <v>1694</v>
      </c>
      <c r="DJ41" s="119">
        <v>3183</v>
      </c>
      <c r="DK41" s="17">
        <f t="shared" si="13"/>
        <v>0.53220232485076968</v>
      </c>
      <c r="DL41" s="13" t="str">
        <f t="shared" si="11"/>
        <v>-</v>
      </c>
      <c r="DM41" s="13" t="str">
        <f t="shared" si="14"/>
        <v>-</v>
      </c>
      <c r="DN41" s="53">
        <f t="shared" si="12"/>
        <v>0.53220232485076968</v>
      </c>
      <c r="DO41" s="15">
        <f t="shared" si="15"/>
        <v>1694</v>
      </c>
      <c r="DP41" s="15">
        <f t="shared" si="16"/>
        <v>3183</v>
      </c>
    </row>
  </sheetData>
  <mergeCells count="15">
    <mergeCell ref="DE5:DP5"/>
    <mergeCell ref="DD2:DD3"/>
    <mergeCell ref="DE2:DK3"/>
    <mergeCell ref="DM2:DP2"/>
    <mergeCell ref="DM3:DP3"/>
    <mergeCell ref="DE4:DP4"/>
    <mergeCell ref="DN7:DN8"/>
    <mergeCell ref="DO7:DO8"/>
    <mergeCell ref="DP7:DP8"/>
    <mergeCell ref="DD7:DD8"/>
    <mergeCell ref="DE7:DE8"/>
    <mergeCell ref="DF7:DH7"/>
    <mergeCell ref="DI7:DK7"/>
    <mergeCell ref="DL7:DL8"/>
    <mergeCell ref="DM7:DM8"/>
  </mergeCells>
  <pageMargins left="0.7" right="0.7" top="0.75" bottom="0.75" header="0.3" footer="0.3"/>
  <pageSetup scale="70" orientation="landscape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21DFA-C5C9-4A60-AEC3-0E05AA054B5B}">
  <sheetPr>
    <tabColor rgb="FFFFFF00"/>
  </sheetPr>
  <dimension ref="A4:R84"/>
  <sheetViews>
    <sheetView zoomScaleNormal="100" workbookViewId="0">
      <selection activeCell="I44" sqref="I44"/>
    </sheetView>
  </sheetViews>
  <sheetFormatPr baseColWidth="10" defaultRowHeight="12.75" x14ac:dyDescent="0.2"/>
  <cols>
    <col min="1" max="1" width="27.7109375" style="123" customWidth="1"/>
    <col min="2" max="2" width="13.85546875" style="123" customWidth="1"/>
    <col min="3" max="3" width="17.140625" style="123" customWidth="1"/>
    <col min="4" max="4" width="18.85546875" style="123" customWidth="1"/>
    <col min="5" max="5" width="13.140625" style="123" customWidth="1"/>
    <col min="6" max="6" width="13.28515625" style="123" customWidth="1"/>
    <col min="7" max="7" width="17.7109375" style="123" customWidth="1"/>
    <col min="8" max="8" width="23.5703125" style="123" customWidth="1"/>
    <col min="9" max="9" width="22.28515625" style="123" customWidth="1"/>
    <col min="10" max="10" width="15" style="123" customWidth="1"/>
    <col min="11" max="11" width="14.140625" style="123" customWidth="1"/>
    <col min="12" max="16384" width="11.42578125" style="123"/>
  </cols>
  <sheetData>
    <row r="4" spans="1:18" x14ac:dyDescent="0.2">
      <c r="C4" s="745" t="s">
        <v>240</v>
      </c>
      <c r="D4" s="745"/>
      <c r="E4" s="745"/>
      <c r="F4" s="745"/>
      <c r="G4" s="745"/>
      <c r="H4" s="745"/>
      <c r="I4" s="745"/>
      <c r="J4" s="745"/>
      <c r="K4" s="122"/>
    </row>
    <row r="5" spans="1:18" ht="13.5" thickBot="1" x14ac:dyDescent="0.25"/>
    <row r="6" spans="1:18" ht="13.5" thickBot="1" x14ac:dyDescent="0.25">
      <c r="C6" s="429" t="s">
        <v>241</v>
      </c>
      <c r="D6" s="430">
        <v>0.43</v>
      </c>
      <c r="G6" s="431" t="s">
        <v>242</v>
      </c>
      <c r="H6" s="431" t="s">
        <v>242</v>
      </c>
    </row>
    <row r="7" spans="1:18" x14ac:dyDescent="0.2">
      <c r="E7" s="125"/>
      <c r="G7" s="432">
        <v>30</v>
      </c>
      <c r="H7" s="433">
        <v>50</v>
      </c>
      <c r="I7" s="123">
        <f>+C13*F13</f>
        <v>483.3715962611908</v>
      </c>
    </row>
    <row r="8" spans="1:18" ht="15" customHeight="1" x14ac:dyDescent="0.2">
      <c r="A8" s="743" t="s">
        <v>107</v>
      </c>
      <c r="B8" s="746">
        <v>2022</v>
      </c>
      <c r="C8" s="747"/>
      <c r="D8" s="747"/>
      <c r="E8" s="748"/>
      <c r="F8" s="734" t="s">
        <v>243</v>
      </c>
      <c r="G8" s="749"/>
      <c r="H8" s="750">
        <v>2023</v>
      </c>
      <c r="I8" s="751"/>
      <c r="J8" s="752"/>
      <c r="K8" s="754" t="s">
        <v>244</v>
      </c>
    </row>
    <row r="9" spans="1:18" ht="15" customHeight="1" x14ac:dyDescent="0.2">
      <c r="A9" s="744"/>
      <c r="B9" s="743" t="s">
        <v>45</v>
      </c>
      <c r="C9" s="728" t="s">
        <v>245</v>
      </c>
      <c r="D9" s="728" t="s">
        <v>246</v>
      </c>
      <c r="E9" s="728" t="s">
        <v>247</v>
      </c>
      <c r="F9" s="728" t="s">
        <v>248</v>
      </c>
      <c r="G9" s="730" t="s">
        <v>249</v>
      </c>
      <c r="H9" s="728" t="s">
        <v>250</v>
      </c>
      <c r="I9" s="730" t="s">
        <v>251</v>
      </c>
      <c r="J9" s="728" t="s">
        <v>144</v>
      </c>
      <c r="K9" s="755"/>
    </row>
    <row r="10" spans="1:18" x14ac:dyDescent="0.2">
      <c r="A10" s="744"/>
      <c r="B10" s="744"/>
      <c r="C10" s="753"/>
      <c r="D10" s="728"/>
      <c r="E10" s="728"/>
      <c r="F10" s="728"/>
      <c r="G10" s="730"/>
      <c r="H10" s="728"/>
      <c r="I10" s="730"/>
      <c r="J10" s="728"/>
      <c r="K10" s="756"/>
    </row>
    <row r="11" spans="1:18" x14ac:dyDescent="0.2">
      <c r="A11" s="389" t="s">
        <v>252</v>
      </c>
      <c r="B11" s="389"/>
      <c r="C11" s="389">
        <f>SUM(C13:C45)</f>
        <v>37465</v>
      </c>
      <c r="D11" s="434">
        <f>SUM(D13:D45)</f>
        <v>96534.066999999981</v>
      </c>
      <c r="E11" s="435"/>
      <c r="F11" s="436"/>
      <c r="G11" s="434"/>
      <c r="H11" s="437">
        <f>SUM(H13:H45)</f>
        <v>39588.103075999999</v>
      </c>
      <c r="I11" s="437">
        <f>SUM(I13:I45)</f>
        <v>99511.80799999999</v>
      </c>
      <c r="J11" s="435"/>
      <c r="K11" s="438"/>
    </row>
    <row r="12" spans="1:18" x14ac:dyDescent="0.2">
      <c r="A12" s="457" t="s">
        <v>253</v>
      </c>
      <c r="B12" s="439"/>
      <c r="C12" s="389"/>
      <c r="D12" s="440"/>
      <c r="E12" s="435"/>
      <c r="F12" s="436"/>
      <c r="G12" s="434"/>
      <c r="H12" s="434"/>
      <c r="I12" s="441"/>
      <c r="J12" s="442"/>
      <c r="K12" s="443"/>
    </row>
    <row r="13" spans="1:18" ht="15" x14ac:dyDescent="0.25">
      <c r="A13" s="458" t="s">
        <v>6</v>
      </c>
      <c r="B13" s="445">
        <v>0.23746550249415044</v>
      </c>
      <c r="C13" s="444">
        <v>2823</v>
      </c>
      <c r="D13" s="446">
        <f>'[3]HTA '!J11</f>
        <v>10909.142</v>
      </c>
      <c r="E13" s="445">
        <f t="shared" ref="E13:E45" si="0">C13/D13</f>
        <v>0.25877378807609253</v>
      </c>
      <c r="F13" s="459">
        <f t="shared" ref="F13:F42" si="1">($D$6-E13)</f>
        <v>0.17122621192390747</v>
      </c>
      <c r="G13" s="460">
        <f>((C13*F13)/E13)*$G$7%</f>
        <v>560.3793179999999</v>
      </c>
      <c r="H13" s="460">
        <f t="shared" ref="H13:H45" si="2">C13+G13</f>
        <v>3383.3793179999998</v>
      </c>
      <c r="I13" s="461">
        <v>11227.577000000001</v>
      </c>
      <c r="J13" s="462">
        <f>(H13/I13)</f>
        <v>0.30134545663770551</v>
      </c>
      <c r="K13" s="447">
        <f>30.1</f>
        <v>30.1</v>
      </c>
      <c r="L13" s="448"/>
      <c r="M13" s="589"/>
      <c r="N13" s="50"/>
    </row>
    <row r="14" spans="1:18" ht="15" x14ac:dyDescent="0.25">
      <c r="A14" s="458" t="s">
        <v>8</v>
      </c>
      <c r="B14" s="445">
        <v>0.24333307798521045</v>
      </c>
      <c r="C14" s="444">
        <v>1367</v>
      </c>
      <c r="D14" s="446">
        <v>5573.6869999999999</v>
      </c>
      <c r="E14" s="445">
        <f t="shared" si="0"/>
        <v>0.24525955619682269</v>
      </c>
      <c r="F14" s="459">
        <f t="shared" si="1"/>
        <v>0.18474044380317731</v>
      </c>
      <c r="G14" s="460">
        <f t="shared" ref="G14:G45" si="3">((C14*F14)/E14)*$G$7%</f>
        <v>308.90562299999993</v>
      </c>
      <c r="H14" s="460">
        <f t="shared" si="2"/>
        <v>1675.9056229999999</v>
      </c>
      <c r="I14" s="461">
        <v>5643.1970000000001</v>
      </c>
      <c r="J14" s="462">
        <f t="shared" ref="J14:J45" si="4">(H14/I14)</f>
        <v>0.29697804684117884</v>
      </c>
      <c r="K14" s="449">
        <v>29.7</v>
      </c>
      <c r="L14" s="448"/>
      <c r="M14" s="589"/>
      <c r="N14" s="50"/>
    </row>
    <row r="15" spans="1:18" ht="15" x14ac:dyDescent="0.25">
      <c r="A15" s="458" t="s">
        <v>9</v>
      </c>
      <c r="B15" s="445">
        <v>0.39237233352977308</v>
      </c>
      <c r="C15" s="444">
        <v>2460</v>
      </c>
      <c r="D15" s="446">
        <v>6106.0110000000004</v>
      </c>
      <c r="E15" s="445">
        <f t="shared" si="0"/>
        <v>0.40288168494947024</v>
      </c>
      <c r="F15" s="459">
        <f t="shared" si="1"/>
        <v>2.7118315050529751E-2</v>
      </c>
      <c r="G15" s="460">
        <f t="shared" si="3"/>
        <v>49.675419000000069</v>
      </c>
      <c r="H15" s="460">
        <f t="shared" si="2"/>
        <v>2509.6754190000001</v>
      </c>
      <c r="I15" s="461">
        <v>6208.5470000000005</v>
      </c>
      <c r="J15" s="462">
        <f t="shared" si="4"/>
        <v>0.4042291085176612</v>
      </c>
      <c r="K15" s="447">
        <v>40.4</v>
      </c>
      <c r="L15" s="448"/>
      <c r="M15" s="589"/>
      <c r="N15" s="590"/>
    </row>
    <row r="16" spans="1:18" ht="15" customHeight="1" x14ac:dyDescent="0.25">
      <c r="A16" s="458" t="s">
        <v>10</v>
      </c>
      <c r="B16" s="445">
        <v>0.23249851344491834</v>
      </c>
      <c r="C16" s="444">
        <v>408</v>
      </c>
      <c r="D16" s="446">
        <v>1067.924</v>
      </c>
      <c r="E16" s="445">
        <f t="shared" si="0"/>
        <v>0.38204965896449561</v>
      </c>
      <c r="F16" s="459">
        <f t="shared" si="1"/>
        <v>4.7950341035504385E-2</v>
      </c>
      <c r="G16" s="460">
        <f>((C16*F16)/E16)*$G$7%</f>
        <v>15.362195999999996</v>
      </c>
      <c r="H16" s="460">
        <f>C16+G16</f>
        <v>423.36219599999998</v>
      </c>
      <c r="I16" s="461">
        <v>1120.0250000000001</v>
      </c>
      <c r="J16" s="462">
        <f>(H16/I16)</f>
        <v>0.37799352335885356</v>
      </c>
      <c r="K16" s="449">
        <v>38.200000000000003</v>
      </c>
      <c r="L16" s="448"/>
      <c r="M16" s="589"/>
      <c r="N16" s="590"/>
      <c r="O16" s="586"/>
      <c r="P16" s="586"/>
      <c r="Q16" s="586"/>
      <c r="R16" s="586"/>
    </row>
    <row r="17" spans="1:18" ht="15" x14ac:dyDescent="0.25">
      <c r="A17" s="458" t="s">
        <v>11</v>
      </c>
      <c r="B17" s="445">
        <v>0.52166872817020704</v>
      </c>
      <c r="C17" s="444">
        <v>2283</v>
      </c>
      <c r="D17" s="446">
        <v>4348.0820000000003</v>
      </c>
      <c r="E17" s="445">
        <f t="shared" si="0"/>
        <v>0.52505909502166703</v>
      </c>
      <c r="F17" s="459">
        <v>0</v>
      </c>
      <c r="G17" s="460">
        <f t="shared" si="3"/>
        <v>0</v>
      </c>
      <c r="H17" s="460">
        <f t="shared" si="2"/>
        <v>2283</v>
      </c>
      <c r="I17" s="461">
        <v>4478.22</v>
      </c>
      <c r="J17" s="462">
        <f t="shared" si="4"/>
        <v>0.50980076905556226</v>
      </c>
      <c r="K17" s="449">
        <v>50</v>
      </c>
      <c r="L17" s="448"/>
      <c r="M17" s="589"/>
      <c r="N17" s="50"/>
      <c r="O17" s="586"/>
      <c r="P17" s="586"/>
      <c r="Q17" s="586"/>
      <c r="R17" s="586"/>
    </row>
    <row r="18" spans="1:18" ht="15" x14ac:dyDescent="0.25">
      <c r="A18" s="458" t="s">
        <v>12</v>
      </c>
      <c r="B18" s="445">
        <v>0.28831803042745618</v>
      </c>
      <c r="C18" s="444">
        <v>893</v>
      </c>
      <c r="D18" s="446">
        <v>2669.585</v>
      </c>
      <c r="E18" s="445">
        <f t="shared" si="0"/>
        <v>0.33450892179870656</v>
      </c>
      <c r="F18" s="459">
        <f t="shared" si="1"/>
        <v>9.5491078201293433E-2</v>
      </c>
      <c r="G18" s="460">
        <f t="shared" si="3"/>
        <v>76.476464999999976</v>
      </c>
      <c r="H18" s="460">
        <f t="shared" si="2"/>
        <v>969.47646499999996</v>
      </c>
      <c r="I18" s="461">
        <v>2869.3969999999999</v>
      </c>
      <c r="J18" s="462">
        <f t="shared" si="4"/>
        <v>0.33786766522722367</v>
      </c>
      <c r="K18" s="449">
        <v>33.799999999999997</v>
      </c>
      <c r="L18" s="448"/>
      <c r="M18" s="589"/>
      <c r="N18" s="50"/>
    </row>
    <row r="19" spans="1:18" ht="15" x14ac:dyDescent="0.25">
      <c r="A19" s="458" t="s">
        <v>23</v>
      </c>
      <c r="B19" s="445">
        <v>0.34618783593628299</v>
      </c>
      <c r="C19" s="444">
        <v>1046</v>
      </c>
      <c r="D19" s="446">
        <f>'[3]HTA '!$J$34</f>
        <v>2354.02</v>
      </c>
      <c r="E19" s="445">
        <f t="shared" si="0"/>
        <v>0.44434626723647208</v>
      </c>
      <c r="F19" s="459">
        <v>0</v>
      </c>
      <c r="G19" s="460">
        <f t="shared" si="3"/>
        <v>0</v>
      </c>
      <c r="H19" s="460">
        <f t="shared" si="2"/>
        <v>1046</v>
      </c>
      <c r="I19" s="461">
        <v>2442.6670000000004</v>
      </c>
      <c r="J19" s="462">
        <f t="shared" si="4"/>
        <v>0.42822046558126831</v>
      </c>
      <c r="K19" s="449">
        <v>44.4</v>
      </c>
      <c r="L19" s="448"/>
      <c r="M19" s="589"/>
      <c r="N19" s="50"/>
    </row>
    <row r="20" spans="1:18" ht="15" x14ac:dyDescent="0.25">
      <c r="A20" s="458" t="s">
        <v>13</v>
      </c>
      <c r="B20" s="445">
        <v>0.39021303228643761</v>
      </c>
      <c r="C20" s="444">
        <v>1489</v>
      </c>
      <c r="D20" s="446">
        <f>'[3]HTA '!J18</f>
        <v>4986.7539999999999</v>
      </c>
      <c r="E20" s="445">
        <f t="shared" si="0"/>
        <v>0.2985910273496547</v>
      </c>
      <c r="F20" s="459">
        <f t="shared" si="1"/>
        <v>0.13140897265034529</v>
      </c>
      <c r="G20" s="460">
        <f>((C20*F20)/E20)*$H$7%</f>
        <v>327.65210999999999</v>
      </c>
      <c r="H20" s="460">
        <f>C20+G20</f>
        <v>1816.65211</v>
      </c>
      <c r="I20" s="461">
        <v>5186.9690000000001</v>
      </c>
      <c r="J20" s="462">
        <f t="shared" si="4"/>
        <v>0.35023384755143128</v>
      </c>
      <c r="K20" s="449">
        <v>35</v>
      </c>
      <c r="L20" s="448"/>
      <c r="M20" s="589"/>
      <c r="N20" s="50"/>
    </row>
    <row r="21" spans="1:18" ht="15" x14ac:dyDescent="0.25">
      <c r="A21" s="458" t="s">
        <v>14</v>
      </c>
      <c r="B21" s="445">
        <v>0.32527160601410088</v>
      </c>
      <c r="C21" s="444">
        <v>890</v>
      </c>
      <c r="D21" s="446">
        <f>'[3]HTA '!J19</f>
        <v>2628.3510000000001</v>
      </c>
      <c r="E21" s="445">
        <f t="shared" si="0"/>
        <v>0.33861535236351614</v>
      </c>
      <c r="F21" s="459">
        <f t="shared" si="1"/>
        <v>9.1384647636483851E-2</v>
      </c>
      <c r="G21" s="460">
        <f t="shared" si="3"/>
        <v>72.05727899999998</v>
      </c>
      <c r="H21" s="460">
        <f t="shared" si="2"/>
        <v>962.05727899999999</v>
      </c>
      <c r="I21" s="461">
        <v>2838.5219999999999</v>
      </c>
      <c r="J21" s="462">
        <f t="shared" si="4"/>
        <v>0.33892894929121564</v>
      </c>
      <c r="K21" s="449">
        <v>33.9</v>
      </c>
      <c r="L21" s="448"/>
      <c r="M21" s="589"/>
      <c r="N21" s="50"/>
    </row>
    <row r="22" spans="1:18" ht="15" x14ac:dyDescent="0.25">
      <c r="A22" s="458" t="s">
        <v>15</v>
      </c>
      <c r="B22" s="445">
        <v>0.3885667995021857</v>
      </c>
      <c r="C22" s="444">
        <v>527</v>
      </c>
      <c r="D22" s="446">
        <f>'[3]HTA '!$J$38</f>
        <v>1129.396</v>
      </c>
      <c r="E22" s="445">
        <f t="shared" si="0"/>
        <v>0.46662109658613987</v>
      </c>
      <c r="F22" s="459">
        <v>0</v>
      </c>
      <c r="G22" s="460">
        <f t="shared" si="3"/>
        <v>0</v>
      </c>
      <c r="H22" s="460">
        <f t="shared" si="2"/>
        <v>527</v>
      </c>
      <c r="I22" s="461">
        <v>1145.4929999999999</v>
      </c>
      <c r="J22" s="462">
        <f t="shared" si="4"/>
        <v>0.46006392007633395</v>
      </c>
      <c r="K22" s="449">
        <v>46.7</v>
      </c>
      <c r="L22" s="448"/>
      <c r="M22" s="589"/>
      <c r="N22" s="50"/>
    </row>
    <row r="23" spans="1:18" ht="15" x14ac:dyDescent="0.25">
      <c r="A23" s="458" t="s">
        <v>16</v>
      </c>
      <c r="B23" s="445">
        <v>0.5083139606105963</v>
      </c>
      <c r="C23" s="444">
        <v>1397</v>
      </c>
      <c r="D23" s="446">
        <f>'[3]HTA '!$J$45</f>
        <v>2259.7690000000002</v>
      </c>
      <c r="E23" s="445">
        <f t="shared" si="0"/>
        <v>0.61820478110815746</v>
      </c>
      <c r="F23" s="459">
        <v>0</v>
      </c>
      <c r="G23" s="460">
        <f t="shared" si="3"/>
        <v>0</v>
      </c>
      <c r="H23" s="460">
        <f t="shared" si="2"/>
        <v>1397</v>
      </c>
      <c r="I23" s="461">
        <v>2344.2849999999999</v>
      </c>
      <c r="J23" s="462">
        <f t="shared" si="4"/>
        <v>0.59591730527644893</v>
      </c>
      <c r="K23" s="449">
        <v>50</v>
      </c>
      <c r="L23" s="448"/>
      <c r="M23" s="589"/>
      <c r="N23" s="50"/>
    </row>
    <row r="24" spans="1:18" ht="15" x14ac:dyDescent="0.25">
      <c r="A24" s="458" t="s">
        <v>17</v>
      </c>
      <c r="B24" s="445">
        <v>0.4080642033092331</v>
      </c>
      <c r="C24" s="444">
        <v>1587</v>
      </c>
      <c r="D24" s="446">
        <f>'[3]HTA '!$J$20</f>
        <v>3484.3290000000002</v>
      </c>
      <c r="E24" s="445">
        <f t="shared" si="0"/>
        <v>0.45546789640128699</v>
      </c>
      <c r="F24" s="459">
        <v>0</v>
      </c>
      <c r="G24" s="460">
        <f t="shared" si="3"/>
        <v>0</v>
      </c>
      <c r="H24" s="460">
        <f t="shared" si="2"/>
        <v>1587</v>
      </c>
      <c r="I24" s="461">
        <v>3602.7290000000003</v>
      </c>
      <c r="J24" s="462">
        <f t="shared" si="4"/>
        <v>0.44049941030813028</v>
      </c>
      <c r="K24" s="449">
        <v>45.5</v>
      </c>
      <c r="M24" s="589"/>
      <c r="N24" s="50"/>
    </row>
    <row r="25" spans="1:18" ht="15" x14ac:dyDescent="0.25">
      <c r="A25" s="458" t="s">
        <v>18</v>
      </c>
      <c r="B25" s="445">
        <v>0.37744702500985094</v>
      </c>
      <c r="C25" s="444">
        <v>2068</v>
      </c>
      <c r="D25" s="446">
        <f>'[3]HTA '!$J$47</f>
        <v>4946.3179999999993</v>
      </c>
      <c r="E25" s="445">
        <f t="shared" si="0"/>
        <v>0.41808876825145497</v>
      </c>
      <c r="F25" s="459">
        <f t="shared" si="1"/>
        <v>1.1911231748545026E-2</v>
      </c>
      <c r="G25" s="460">
        <f t="shared" si="3"/>
        <v>17.67502199999992</v>
      </c>
      <c r="H25" s="460">
        <f t="shared" si="2"/>
        <v>2085.6750219999999</v>
      </c>
      <c r="I25" s="461">
        <v>4972.9560000000001</v>
      </c>
      <c r="J25" s="462">
        <f t="shared" si="4"/>
        <v>0.41940347390968263</v>
      </c>
      <c r="K25" s="449">
        <v>41.9</v>
      </c>
      <c r="M25" s="589"/>
      <c r="N25" s="50"/>
    </row>
    <row r="26" spans="1:18" ht="15" x14ac:dyDescent="0.25">
      <c r="A26" s="458" t="s">
        <v>19</v>
      </c>
      <c r="B26" s="445">
        <v>0.53205233345840763</v>
      </c>
      <c r="C26" s="444">
        <v>1180</v>
      </c>
      <c r="D26" s="446">
        <f>'[3]HTA '!J50</f>
        <v>2290.6109999999999</v>
      </c>
      <c r="E26" s="445">
        <f t="shared" si="0"/>
        <v>0.51514639543772389</v>
      </c>
      <c r="F26" s="459">
        <v>0</v>
      </c>
      <c r="G26" s="460">
        <f t="shared" si="3"/>
        <v>0</v>
      </c>
      <c r="H26" s="460">
        <f t="shared" si="2"/>
        <v>1180</v>
      </c>
      <c r="I26" s="461">
        <v>2348.299</v>
      </c>
      <c r="J26" s="462">
        <f t="shared" si="4"/>
        <v>0.50249137780154918</v>
      </c>
      <c r="K26" s="449">
        <v>50</v>
      </c>
      <c r="M26" s="589"/>
      <c r="N26" s="50"/>
    </row>
    <row r="27" spans="1:18" ht="15" x14ac:dyDescent="0.25">
      <c r="A27" s="458" t="s">
        <v>20</v>
      </c>
      <c r="B27" s="445">
        <v>0.33386589007319079</v>
      </c>
      <c r="C27" s="444">
        <v>670</v>
      </c>
      <c r="D27" s="446">
        <f>'[3]HTA '!J51</f>
        <v>1262.8589999999999</v>
      </c>
      <c r="E27" s="445">
        <f t="shared" si="0"/>
        <v>0.53054220621621262</v>
      </c>
      <c r="F27" s="459">
        <v>0</v>
      </c>
      <c r="G27" s="460">
        <f t="shared" si="3"/>
        <v>0</v>
      </c>
      <c r="H27" s="460">
        <f t="shared" si="2"/>
        <v>670</v>
      </c>
      <c r="I27" s="461">
        <v>1295.634</v>
      </c>
      <c r="J27" s="462">
        <f t="shared" si="4"/>
        <v>0.51712134754104944</v>
      </c>
      <c r="K27" s="449">
        <v>50</v>
      </c>
      <c r="M27" s="589"/>
      <c r="N27" s="50"/>
    </row>
    <row r="28" spans="1:18" ht="15" x14ac:dyDescent="0.25">
      <c r="A28" s="458" t="s">
        <v>21</v>
      </c>
      <c r="B28" s="445">
        <v>0.31059939575361833</v>
      </c>
      <c r="C28" s="444">
        <v>531</v>
      </c>
      <c r="D28" s="446">
        <f>'[3]HTA '!J52</f>
        <v>1085.7090000000001</v>
      </c>
      <c r="E28" s="445">
        <f t="shared" si="0"/>
        <v>0.48908132842225677</v>
      </c>
      <c r="F28" s="459">
        <v>0</v>
      </c>
      <c r="G28" s="460">
        <f t="shared" si="3"/>
        <v>0</v>
      </c>
      <c r="H28" s="460">
        <f t="shared" si="2"/>
        <v>531</v>
      </c>
      <c r="I28" s="461">
        <v>1136.3800000000001</v>
      </c>
      <c r="J28" s="462">
        <f t="shared" si="4"/>
        <v>0.46727327126489376</v>
      </c>
      <c r="K28" s="449">
        <v>48.9</v>
      </c>
      <c r="M28" s="589"/>
      <c r="N28" s="50"/>
    </row>
    <row r="29" spans="1:18" ht="15" x14ac:dyDescent="0.25">
      <c r="A29" s="458" t="s">
        <v>22</v>
      </c>
      <c r="B29" s="445">
        <v>0.39827395078050465</v>
      </c>
      <c r="C29" s="444">
        <v>653</v>
      </c>
      <c r="D29" s="446">
        <f>'[3]HTA '!$J$35</f>
        <v>1649.67</v>
      </c>
      <c r="E29" s="445">
        <f t="shared" si="0"/>
        <v>0.39583674310619699</v>
      </c>
      <c r="F29" s="459">
        <f t="shared" si="1"/>
        <v>3.4163256893803007E-2</v>
      </c>
      <c r="G29" s="460">
        <f>((C29*F29)/E29)*H7%</f>
        <v>28.179050000000004</v>
      </c>
      <c r="H29" s="460">
        <f t="shared" si="2"/>
        <v>681.17904999999996</v>
      </c>
      <c r="I29" s="461">
        <v>1676.78</v>
      </c>
      <c r="J29" s="462">
        <f t="shared" si="4"/>
        <v>0.40624235141163417</v>
      </c>
      <c r="K29" s="449">
        <v>40.6</v>
      </c>
      <c r="M29" s="589"/>
      <c r="N29" s="50"/>
    </row>
    <row r="30" spans="1:18" x14ac:dyDescent="0.2">
      <c r="A30" s="457" t="s">
        <v>254</v>
      </c>
      <c r="B30" s="435"/>
      <c r="C30" s="389"/>
      <c r="D30" s="440"/>
      <c r="E30" s="435"/>
      <c r="F30" s="436"/>
      <c r="G30" s="434"/>
      <c r="H30" s="434"/>
      <c r="I30" s="450"/>
      <c r="J30" s="451"/>
      <c r="K30" s="452"/>
      <c r="N30" s="448"/>
    </row>
    <row r="31" spans="1:18" ht="15" x14ac:dyDescent="0.25">
      <c r="A31" s="458" t="s">
        <v>29</v>
      </c>
      <c r="B31" s="445">
        <v>0.35984302674181556</v>
      </c>
      <c r="C31" s="444">
        <v>37</v>
      </c>
      <c r="D31" s="446">
        <f>'[3]HTA '!$J$36</f>
        <v>133.42400000000001</v>
      </c>
      <c r="E31" s="445">
        <f t="shared" si="0"/>
        <v>0.27731142822880439</v>
      </c>
      <c r="F31" s="459">
        <f t="shared" si="1"/>
        <v>0.1526885717711956</v>
      </c>
      <c r="G31" s="460">
        <f>((C31*F31)/E31)*$H$7%</f>
        <v>10.186160000000001</v>
      </c>
      <c r="H31" s="460">
        <f t="shared" si="2"/>
        <v>47.186160000000001</v>
      </c>
      <c r="I31" s="461">
        <v>134</v>
      </c>
      <c r="J31" s="462">
        <f t="shared" si="4"/>
        <v>0.35213552238805973</v>
      </c>
      <c r="K31" s="449">
        <v>35.200000000000003</v>
      </c>
      <c r="M31" s="589"/>
      <c r="N31" s="50"/>
    </row>
    <row r="32" spans="1:18" ht="15" x14ac:dyDescent="0.25">
      <c r="A32" s="458" t="s">
        <v>24</v>
      </c>
      <c r="B32" s="445">
        <v>0.34083966487391959</v>
      </c>
      <c r="C32" s="444">
        <v>876</v>
      </c>
      <c r="D32" s="446">
        <f>'[3]HTA '!$J$48</f>
        <v>1652.9490000000001</v>
      </c>
      <c r="E32" s="445">
        <f t="shared" si="0"/>
        <v>0.52996190445077251</v>
      </c>
      <c r="F32" s="459">
        <v>0</v>
      </c>
      <c r="G32" s="460">
        <f t="shared" si="3"/>
        <v>0</v>
      </c>
      <c r="H32" s="460">
        <f t="shared" si="2"/>
        <v>876</v>
      </c>
      <c r="I32" s="461">
        <v>1716.172</v>
      </c>
      <c r="J32" s="462">
        <v>0.53</v>
      </c>
      <c r="K32" s="449">
        <v>50</v>
      </c>
      <c r="M32" s="589"/>
      <c r="N32" s="50"/>
    </row>
    <row r="33" spans="1:14" ht="15" x14ac:dyDescent="0.25">
      <c r="A33" s="458" t="s">
        <v>26</v>
      </c>
      <c r="B33" s="445">
        <v>0.45334396916270092</v>
      </c>
      <c r="C33" s="444">
        <v>409</v>
      </c>
      <c r="D33" s="446">
        <f>'[3]HTA '!$J$39</f>
        <v>873.34799999999996</v>
      </c>
      <c r="E33" s="445">
        <f t="shared" si="0"/>
        <v>0.46831274589281707</v>
      </c>
      <c r="F33" s="459">
        <v>0</v>
      </c>
      <c r="G33" s="460">
        <f t="shared" si="3"/>
        <v>0</v>
      </c>
      <c r="H33" s="460">
        <f t="shared" si="2"/>
        <v>409</v>
      </c>
      <c r="I33" s="461">
        <v>882.73900000000003</v>
      </c>
      <c r="J33" s="462">
        <f t="shared" si="4"/>
        <v>0.46333061074677789</v>
      </c>
      <c r="K33" s="449">
        <v>46.8</v>
      </c>
      <c r="M33" s="589"/>
      <c r="N33" s="50"/>
    </row>
    <row r="34" spans="1:14" ht="15" x14ac:dyDescent="0.25">
      <c r="A34" s="458" t="s">
        <v>27</v>
      </c>
      <c r="B34" s="445">
        <v>0.48421854599559766</v>
      </c>
      <c r="C34" s="444">
        <v>959</v>
      </c>
      <c r="D34" s="446">
        <f>'[3]HTA '!$J$37</f>
        <v>1716.7170000000001</v>
      </c>
      <c r="E34" s="445">
        <f t="shared" si="0"/>
        <v>0.55862439761474947</v>
      </c>
      <c r="F34" s="459">
        <v>0</v>
      </c>
      <c r="G34" s="460">
        <f t="shared" si="3"/>
        <v>0</v>
      </c>
      <c r="H34" s="460">
        <f t="shared" si="2"/>
        <v>959</v>
      </c>
      <c r="I34" s="461">
        <v>1767.0119999999999</v>
      </c>
      <c r="J34" s="462">
        <f t="shared" si="4"/>
        <v>0.54272410147752248</v>
      </c>
      <c r="K34" s="449">
        <v>50</v>
      </c>
      <c r="M34" s="589"/>
      <c r="N34" s="50"/>
    </row>
    <row r="35" spans="1:14" ht="15" x14ac:dyDescent="0.25">
      <c r="A35" s="458" t="s">
        <v>28</v>
      </c>
      <c r="B35" s="445">
        <v>0.53579047929543233</v>
      </c>
      <c r="C35" s="444">
        <v>799</v>
      </c>
      <c r="D35" s="446">
        <f>'[3]HTA '!$J$46</f>
        <v>1579.5520000000001</v>
      </c>
      <c r="E35" s="445">
        <f t="shared" si="0"/>
        <v>0.50583963047750247</v>
      </c>
      <c r="F35" s="459">
        <v>0</v>
      </c>
      <c r="G35" s="460">
        <f t="shared" si="3"/>
        <v>0</v>
      </c>
      <c r="H35" s="460">
        <f t="shared" si="2"/>
        <v>799</v>
      </c>
      <c r="I35" s="461">
        <v>1622.3780000000002</v>
      </c>
      <c r="J35" s="462">
        <f t="shared" si="4"/>
        <v>0.492486954334933</v>
      </c>
      <c r="K35" s="449">
        <v>50</v>
      </c>
      <c r="M35" s="589"/>
      <c r="N35" s="50"/>
    </row>
    <row r="36" spans="1:14" ht="15" x14ac:dyDescent="0.25">
      <c r="A36" s="458" t="s">
        <v>30</v>
      </c>
      <c r="B36" s="445">
        <v>0.35132304900181494</v>
      </c>
      <c r="C36" s="444">
        <v>762</v>
      </c>
      <c r="D36" s="446">
        <f>'[3]HTA '!$J$44</f>
        <v>1801.0730000000001</v>
      </c>
      <c r="E36" s="445">
        <f t="shared" si="0"/>
        <v>0.42308112997085623</v>
      </c>
      <c r="F36" s="459">
        <f t="shared" si="1"/>
        <v>6.9188700291437644E-3</v>
      </c>
      <c r="G36" s="460">
        <f t="shared" si="3"/>
        <v>3.7384170000000143</v>
      </c>
      <c r="H36" s="460">
        <f t="shared" si="2"/>
        <v>765.73841700000003</v>
      </c>
      <c r="I36" s="461">
        <v>1847.9850000000001</v>
      </c>
      <c r="J36" s="462">
        <f t="shared" si="4"/>
        <v>0.41436397860372243</v>
      </c>
      <c r="K36" s="449">
        <v>42.3</v>
      </c>
      <c r="M36" s="589"/>
      <c r="N36" s="50"/>
    </row>
    <row r="37" spans="1:14" ht="15" x14ac:dyDescent="0.25">
      <c r="A37" s="458" t="s">
        <v>31</v>
      </c>
      <c r="B37" s="445">
        <v>0.24150637351377047</v>
      </c>
      <c r="C37" s="444">
        <v>716</v>
      </c>
      <c r="D37" s="446">
        <f>'[3]HTA '!$J$43</f>
        <v>1652.4189999999999</v>
      </c>
      <c r="E37" s="445">
        <f t="shared" si="0"/>
        <v>0.43330414380372051</v>
      </c>
      <c r="F37" s="459">
        <f t="shared" si="1"/>
        <v>-3.3041438037205162E-3</v>
      </c>
      <c r="G37" s="460">
        <v>0</v>
      </c>
      <c r="H37" s="460">
        <f t="shared" si="2"/>
        <v>716</v>
      </c>
      <c r="I37" s="461">
        <v>1707.05</v>
      </c>
      <c r="J37" s="462">
        <f t="shared" si="4"/>
        <v>0.41943704050847957</v>
      </c>
      <c r="K37" s="449">
        <v>43.3</v>
      </c>
      <c r="M37" s="589"/>
      <c r="N37" s="50"/>
    </row>
    <row r="38" spans="1:14" ht="15" x14ac:dyDescent="0.25">
      <c r="A38" s="457" t="s">
        <v>255</v>
      </c>
      <c r="B38" s="439"/>
      <c r="C38" s="389"/>
      <c r="D38" s="440"/>
      <c r="E38" s="435"/>
      <c r="F38" s="436"/>
      <c r="G38" s="434"/>
      <c r="H38" s="434"/>
      <c r="I38" s="450"/>
      <c r="J38" s="451"/>
      <c r="K38" s="451"/>
      <c r="M38" s="589"/>
      <c r="N38" s="50"/>
    </row>
    <row r="39" spans="1:14" ht="15" x14ac:dyDescent="0.25">
      <c r="A39" s="458" t="s">
        <v>37</v>
      </c>
      <c r="B39" s="445">
        <v>0.29099999999999998</v>
      </c>
      <c r="C39" s="444">
        <v>2271</v>
      </c>
      <c r="D39" s="446">
        <f>'[3]HTA '!$J$29</f>
        <v>7744.5040000000008</v>
      </c>
      <c r="E39" s="445">
        <f t="shared" si="0"/>
        <v>0.29324021267210915</v>
      </c>
      <c r="F39" s="459">
        <f t="shared" si="1"/>
        <v>0.13675978732789085</v>
      </c>
      <c r="G39" s="460">
        <f t="shared" si="3"/>
        <v>317.741016</v>
      </c>
      <c r="H39" s="460">
        <f t="shared" si="2"/>
        <v>2588.7410159999999</v>
      </c>
      <c r="I39" s="461">
        <v>7974.5549999999994</v>
      </c>
      <c r="J39" s="462">
        <f t="shared" si="4"/>
        <v>0.32462513782900743</v>
      </c>
      <c r="K39" s="587">
        <v>32.5</v>
      </c>
      <c r="L39" s="588" t="s">
        <v>373</v>
      </c>
      <c r="M39" s="589"/>
      <c r="N39" s="50"/>
    </row>
    <row r="40" spans="1:14" ht="13.5" customHeight="1" x14ac:dyDescent="0.25">
      <c r="A40" s="458" t="s">
        <v>36</v>
      </c>
      <c r="B40" s="445">
        <v>0.32300000000000001</v>
      </c>
      <c r="C40" s="444">
        <v>2085</v>
      </c>
      <c r="D40" s="446">
        <f>'[3]HTA '!$J$28</f>
        <v>6226.1550000000007</v>
      </c>
      <c r="E40" s="445">
        <f>C40/D40</f>
        <v>0.33487762511534003</v>
      </c>
      <c r="F40" s="459">
        <f t="shared" si="1"/>
        <v>9.5122374884659966E-2</v>
      </c>
      <c r="G40" s="460">
        <f t="shared" si="3"/>
        <v>177.67399500000002</v>
      </c>
      <c r="H40" s="460">
        <f t="shared" si="2"/>
        <v>2262.6739950000001</v>
      </c>
      <c r="I40" s="461">
        <v>6333.3289999999997</v>
      </c>
      <c r="J40" s="462">
        <f t="shared" si="4"/>
        <v>0.35726455944417229</v>
      </c>
      <c r="K40" s="587">
        <v>35.700000000000003</v>
      </c>
      <c r="L40" s="588" t="s">
        <v>373</v>
      </c>
      <c r="M40" s="589"/>
      <c r="N40" s="50"/>
    </row>
    <row r="41" spans="1:14" ht="15" x14ac:dyDescent="0.25">
      <c r="A41" s="458" t="s">
        <v>32</v>
      </c>
      <c r="B41" s="445">
        <v>0.29984818956000747</v>
      </c>
      <c r="C41" s="444">
        <v>1865</v>
      </c>
      <c r="D41" s="446">
        <f>'[3]HTA '!J25</f>
        <v>5505.9030000000002</v>
      </c>
      <c r="E41" s="445">
        <f t="shared" si="0"/>
        <v>0.33872736225102401</v>
      </c>
      <c r="F41" s="459">
        <f t="shared" si="1"/>
        <v>9.1272637748975982E-2</v>
      </c>
      <c r="G41" s="460">
        <f t="shared" si="3"/>
        <v>150.76148700000005</v>
      </c>
      <c r="H41" s="460">
        <f t="shared" si="2"/>
        <v>2015.761487</v>
      </c>
      <c r="I41" s="461">
        <v>5716.3870000000006</v>
      </c>
      <c r="J41" s="462">
        <f t="shared" si="4"/>
        <v>0.35262858987678752</v>
      </c>
      <c r="K41" s="449">
        <v>35.299999999999997</v>
      </c>
      <c r="M41" s="589"/>
      <c r="N41" s="50"/>
    </row>
    <row r="42" spans="1:14" ht="15" x14ac:dyDescent="0.25">
      <c r="A42" s="458" t="s">
        <v>34</v>
      </c>
      <c r="B42" s="445">
        <v>0.26392688950351118</v>
      </c>
      <c r="C42" s="444">
        <v>416</v>
      </c>
      <c r="D42" s="446">
        <f>'[3]HTA '!J26</f>
        <v>1018.9110000000001</v>
      </c>
      <c r="E42" s="445">
        <f t="shared" si="0"/>
        <v>0.40827903516597619</v>
      </c>
      <c r="F42" s="459">
        <f t="shared" si="1"/>
        <v>2.1720964834023804E-2</v>
      </c>
      <c r="G42" s="460">
        <f t="shared" si="3"/>
        <v>6.6395190000000088</v>
      </c>
      <c r="H42" s="460">
        <f t="shared" si="2"/>
        <v>422.63951900000001</v>
      </c>
      <c r="I42" s="461">
        <v>1058.7269999999999</v>
      </c>
      <c r="J42" s="462">
        <f t="shared" si="4"/>
        <v>0.39919593908533557</v>
      </c>
      <c r="K42" s="449">
        <v>40.799999999999997</v>
      </c>
      <c r="M42" s="589"/>
      <c r="N42" s="50"/>
    </row>
    <row r="43" spans="1:14" ht="15" x14ac:dyDescent="0.25">
      <c r="A43" s="458" t="s">
        <v>35</v>
      </c>
      <c r="B43" s="445">
        <v>0.34744117550494585</v>
      </c>
      <c r="C43" s="444">
        <v>1492</v>
      </c>
      <c r="D43" s="446">
        <f>'[3]HTA '!$J$33</f>
        <v>3367.4110000000001</v>
      </c>
      <c r="E43" s="445">
        <f t="shared" si="0"/>
        <v>0.44307035880087103</v>
      </c>
      <c r="F43" s="459">
        <v>0</v>
      </c>
      <c r="G43" s="460">
        <f t="shared" si="3"/>
        <v>0</v>
      </c>
      <c r="H43" s="460">
        <f t="shared" si="2"/>
        <v>1492</v>
      </c>
      <c r="I43" s="461">
        <v>3404.855</v>
      </c>
      <c r="J43" s="462">
        <f t="shared" si="4"/>
        <v>0.43819780871725816</v>
      </c>
      <c r="K43" s="449">
        <v>44.3</v>
      </c>
      <c r="M43" s="589"/>
      <c r="N43" s="50"/>
    </row>
    <row r="44" spans="1:14" ht="15" x14ac:dyDescent="0.25">
      <c r="A44" s="458" t="s">
        <v>38</v>
      </c>
      <c r="B44" s="445">
        <v>0.42419860276233029</v>
      </c>
      <c r="C44" s="444">
        <v>812</v>
      </c>
      <c r="D44" s="446">
        <f>'[3]HTA '!$J$53</f>
        <v>1326.6660000000002</v>
      </c>
      <c r="E44" s="445">
        <f t="shared" si="0"/>
        <v>0.61206060907568283</v>
      </c>
      <c r="F44" s="459">
        <v>0</v>
      </c>
      <c r="G44" s="460">
        <f t="shared" si="3"/>
        <v>0</v>
      </c>
      <c r="H44" s="460">
        <f t="shared" si="2"/>
        <v>812</v>
      </c>
      <c r="I44" s="463">
        <v>1387.318</v>
      </c>
      <c r="J44" s="462">
        <f t="shared" si="4"/>
        <v>0.58530199997405064</v>
      </c>
      <c r="K44" s="449">
        <v>50</v>
      </c>
      <c r="M44" s="589"/>
      <c r="N44" s="50"/>
    </row>
    <row r="45" spans="1:14" ht="15" x14ac:dyDescent="0.25">
      <c r="A45" s="444" t="s">
        <v>39</v>
      </c>
      <c r="B45" s="445">
        <v>0.40559848412145744</v>
      </c>
      <c r="C45" s="444">
        <v>1694</v>
      </c>
      <c r="D45" s="446">
        <f>'[3]HTA '!$J$30</f>
        <v>3182.8180000000002</v>
      </c>
      <c r="E45" s="445">
        <f t="shared" si="0"/>
        <v>0.53223275726101837</v>
      </c>
      <c r="F45" s="459">
        <v>0</v>
      </c>
      <c r="G45" s="460">
        <f t="shared" si="3"/>
        <v>0</v>
      </c>
      <c r="H45" s="460">
        <f t="shared" si="2"/>
        <v>1694</v>
      </c>
      <c r="I45" s="461">
        <v>3421.6239999999998</v>
      </c>
      <c r="J45" s="462">
        <f t="shared" si="4"/>
        <v>0.49508654369971689</v>
      </c>
      <c r="K45" s="449">
        <v>50</v>
      </c>
      <c r="M45" s="589"/>
      <c r="N45" s="50"/>
    </row>
    <row r="46" spans="1:14" ht="15" x14ac:dyDescent="0.25">
      <c r="M46"/>
      <c r="N46"/>
    </row>
    <row r="47" spans="1:14" ht="15" x14ac:dyDescent="0.25">
      <c r="M47"/>
      <c r="N47"/>
    </row>
    <row r="52" spans="10:10" x14ac:dyDescent="0.2">
      <c r="J52" s="453"/>
    </row>
    <row r="53" spans="10:10" x14ac:dyDescent="0.2">
      <c r="J53" s="454"/>
    </row>
    <row r="54" spans="10:10" x14ac:dyDescent="0.2">
      <c r="J54" s="454"/>
    </row>
    <row r="55" spans="10:10" x14ac:dyDescent="0.2">
      <c r="J55" s="454"/>
    </row>
    <row r="56" spans="10:10" x14ac:dyDescent="0.2">
      <c r="J56" s="454"/>
    </row>
    <row r="57" spans="10:10" x14ac:dyDescent="0.2">
      <c r="J57" s="454"/>
    </row>
    <row r="58" spans="10:10" x14ac:dyDescent="0.2">
      <c r="J58" s="454"/>
    </row>
    <row r="59" spans="10:10" x14ac:dyDescent="0.2">
      <c r="J59" s="454"/>
    </row>
    <row r="60" spans="10:10" x14ac:dyDescent="0.2">
      <c r="J60" s="454"/>
    </row>
    <row r="61" spans="10:10" x14ac:dyDescent="0.2">
      <c r="J61" s="454"/>
    </row>
    <row r="62" spans="10:10" x14ac:dyDescent="0.2">
      <c r="J62" s="454"/>
    </row>
    <row r="63" spans="10:10" x14ac:dyDescent="0.2">
      <c r="J63" s="454"/>
    </row>
    <row r="64" spans="10:10" x14ac:dyDescent="0.2">
      <c r="J64" s="454"/>
    </row>
    <row r="65" spans="10:10" x14ac:dyDescent="0.2">
      <c r="J65" s="454"/>
    </row>
    <row r="66" spans="10:10" x14ac:dyDescent="0.2">
      <c r="J66" s="454"/>
    </row>
    <row r="67" spans="10:10" x14ac:dyDescent="0.2">
      <c r="J67" s="454"/>
    </row>
    <row r="68" spans="10:10" x14ac:dyDescent="0.2">
      <c r="J68" s="455"/>
    </row>
    <row r="69" spans="10:10" x14ac:dyDescent="0.2">
      <c r="J69" s="456"/>
    </row>
    <row r="70" spans="10:10" x14ac:dyDescent="0.2">
      <c r="J70" s="454"/>
    </row>
    <row r="71" spans="10:10" x14ac:dyDescent="0.2">
      <c r="J71" s="454"/>
    </row>
    <row r="72" spans="10:10" x14ac:dyDescent="0.2">
      <c r="J72" s="454"/>
    </row>
    <row r="73" spans="10:10" x14ac:dyDescent="0.2">
      <c r="J73" s="454"/>
    </row>
    <row r="74" spans="10:10" x14ac:dyDescent="0.2">
      <c r="J74" s="454"/>
    </row>
    <row r="75" spans="10:10" x14ac:dyDescent="0.2">
      <c r="J75" s="454"/>
    </row>
    <row r="76" spans="10:10" x14ac:dyDescent="0.2">
      <c r="J76" s="454"/>
    </row>
    <row r="77" spans="10:10" x14ac:dyDescent="0.2">
      <c r="J77" s="454"/>
    </row>
    <row r="78" spans="10:10" x14ac:dyDescent="0.2">
      <c r="J78" s="454"/>
    </row>
    <row r="79" spans="10:10" x14ac:dyDescent="0.2">
      <c r="J79" s="454"/>
    </row>
    <row r="80" spans="10:10" x14ac:dyDescent="0.2">
      <c r="J80" s="454"/>
    </row>
    <row r="81" spans="10:10" x14ac:dyDescent="0.2">
      <c r="J81" s="454"/>
    </row>
    <row r="82" spans="10:10" x14ac:dyDescent="0.2">
      <c r="J82" s="454"/>
    </row>
    <row r="83" spans="10:10" x14ac:dyDescent="0.2">
      <c r="J83" s="454"/>
    </row>
    <row r="84" spans="10:10" x14ac:dyDescent="0.2">
      <c r="J84" s="454"/>
    </row>
  </sheetData>
  <mergeCells count="15">
    <mergeCell ref="K8:K10"/>
    <mergeCell ref="G9:G10"/>
    <mergeCell ref="H9:H10"/>
    <mergeCell ref="I9:I10"/>
    <mergeCell ref="J9:J10"/>
    <mergeCell ref="A8:A10"/>
    <mergeCell ref="F9:F10"/>
    <mergeCell ref="C4:J4"/>
    <mergeCell ref="B8:E8"/>
    <mergeCell ref="F8:G8"/>
    <mergeCell ref="H8:J8"/>
    <mergeCell ref="B9:B10"/>
    <mergeCell ref="C9:C10"/>
    <mergeCell ref="D9:D10"/>
    <mergeCell ref="E9:E10"/>
  </mergeCells>
  <pageMargins left="0.7" right="0.7" top="0.75" bottom="0.75" header="0.3" footer="0.3"/>
  <pageSetup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DR2:EJ41"/>
  <sheetViews>
    <sheetView showGridLines="0" topLeftCell="DQ13" zoomScale="90" zoomScaleNormal="90" workbookViewId="0">
      <selection activeCell="DR34" sqref="DR34:EJ34"/>
    </sheetView>
  </sheetViews>
  <sheetFormatPr baseColWidth="10" defaultRowHeight="15" outlineLevelCol="1" x14ac:dyDescent="0.25"/>
  <cols>
    <col min="1" max="120" width="0" hidden="1" customWidth="1"/>
    <col min="121" max="121" width="3.5703125" customWidth="1"/>
    <col min="122" max="122" width="31.85546875" customWidth="1"/>
    <col min="123" max="132" width="11.42578125" hidden="1" customWidth="1" outlineLevel="1"/>
    <col min="133" max="133" width="15" customWidth="1" collapsed="1"/>
    <col min="134" max="134" width="15.140625" customWidth="1"/>
    <col min="135" max="135" width="17" customWidth="1"/>
    <col min="136" max="136" width="18.5703125" customWidth="1"/>
    <col min="138" max="138" width="14" customWidth="1"/>
    <col min="139" max="139" width="14.140625" customWidth="1"/>
  </cols>
  <sheetData>
    <row r="2" spans="122:140" x14ac:dyDescent="0.25">
      <c r="DR2" s="724" t="s">
        <v>104</v>
      </c>
      <c r="DS2" s="597" t="s">
        <v>68</v>
      </c>
      <c r="DT2" s="597"/>
      <c r="DU2" s="597"/>
      <c r="DV2" s="597"/>
      <c r="DW2" s="597"/>
      <c r="DX2" s="597"/>
      <c r="DY2" s="597"/>
      <c r="DZ2" s="597"/>
      <c r="EA2" s="597"/>
      <c r="EB2" s="597"/>
      <c r="EC2" s="597"/>
      <c r="ED2" s="597"/>
      <c r="EE2" s="597"/>
      <c r="EF2" s="106" t="s">
        <v>3</v>
      </c>
      <c r="EG2" s="725" t="s">
        <v>134</v>
      </c>
      <c r="EH2" s="725"/>
      <c r="EI2" s="725"/>
      <c r="EJ2" s="725"/>
    </row>
    <row r="3" spans="122:140" ht="45" customHeight="1" x14ac:dyDescent="0.25">
      <c r="DR3" s="724"/>
      <c r="DS3" s="597"/>
      <c r="DT3" s="597"/>
      <c r="DU3" s="597"/>
      <c r="DV3" s="597"/>
      <c r="DW3" s="597"/>
      <c r="DX3" s="597"/>
      <c r="DY3" s="597"/>
      <c r="DZ3" s="597"/>
      <c r="EA3" s="597"/>
      <c r="EB3" s="597"/>
      <c r="EC3" s="597"/>
      <c r="ED3" s="597"/>
      <c r="EE3" s="597"/>
      <c r="EF3" s="107">
        <v>0.6</v>
      </c>
      <c r="EG3" s="597" t="s">
        <v>142</v>
      </c>
      <c r="EH3" s="597"/>
      <c r="EI3" s="597"/>
      <c r="EJ3" s="597"/>
    </row>
    <row r="4" spans="122:140" ht="29.25" customHeight="1" x14ac:dyDescent="0.25">
      <c r="DR4" s="109" t="s">
        <v>1</v>
      </c>
      <c r="DS4" s="597" t="s">
        <v>153</v>
      </c>
      <c r="DT4" s="597"/>
      <c r="DU4" s="597"/>
      <c r="DV4" s="597"/>
      <c r="DW4" s="597"/>
      <c r="DX4" s="597"/>
      <c r="DY4" s="597"/>
      <c r="DZ4" s="597"/>
      <c r="EA4" s="597"/>
      <c r="EB4" s="597"/>
      <c r="EC4" s="597"/>
      <c r="ED4" s="597"/>
      <c r="EE4" s="597"/>
      <c r="EF4" s="597"/>
      <c r="EG4" s="597"/>
      <c r="EH4" s="597"/>
      <c r="EI4" s="597"/>
      <c r="EJ4" s="597"/>
    </row>
    <row r="5" spans="122:140" ht="17.25" customHeight="1" x14ac:dyDescent="0.25">
      <c r="DR5" s="109" t="s">
        <v>2</v>
      </c>
      <c r="DS5" s="597" t="s">
        <v>154</v>
      </c>
      <c r="DT5" s="597"/>
      <c r="DU5" s="597"/>
      <c r="DV5" s="597"/>
      <c r="DW5" s="597"/>
      <c r="DX5" s="597"/>
      <c r="DY5" s="597"/>
      <c r="DZ5" s="597"/>
      <c r="EA5" s="597"/>
      <c r="EB5" s="597"/>
      <c r="EC5" s="597"/>
      <c r="ED5" s="597"/>
      <c r="EE5" s="597"/>
      <c r="EF5" s="597"/>
      <c r="EG5" s="597"/>
      <c r="EH5" s="597"/>
      <c r="EI5" s="597"/>
      <c r="EJ5" s="597"/>
    </row>
    <row r="7" spans="122:140" x14ac:dyDescent="0.25">
      <c r="DR7" s="716" t="s">
        <v>40</v>
      </c>
      <c r="DS7" s="1" t="s">
        <v>41</v>
      </c>
      <c r="DT7" s="718" t="s">
        <v>84</v>
      </c>
      <c r="DU7" s="719"/>
      <c r="DV7" s="720"/>
      <c r="DW7" s="718" t="s">
        <v>85</v>
      </c>
      <c r="DX7" s="719"/>
      <c r="DY7" s="720"/>
      <c r="DZ7" s="718" t="s">
        <v>88</v>
      </c>
      <c r="EA7" s="719"/>
      <c r="EB7" s="720"/>
      <c r="EC7" s="718" t="s">
        <v>143</v>
      </c>
      <c r="ED7" s="719"/>
      <c r="EE7" s="720"/>
      <c r="EF7" s="740" t="s">
        <v>43</v>
      </c>
      <c r="EG7" s="741" t="s">
        <v>97</v>
      </c>
      <c r="EH7" s="698" t="s">
        <v>81</v>
      </c>
      <c r="EI7" s="698" t="s">
        <v>82</v>
      </c>
      <c r="EJ7" s="698" t="s">
        <v>83</v>
      </c>
    </row>
    <row r="8" spans="122:140" x14ac:dyDescent="0.25">
      <c r="DR8" s="717"/>
      <c r="DS8" s="1"/>
      <c r="DT8" s="1" t="s">
        <v>82</v>
      </c>
      <c r="DU8" s="1" t="s">
        <v>83</v>
      </c>
      <c r="DV8" s="1" t="s">
        <v>87</v>
      </c>
      <c r="DW8" s="1" t="s">
        <v>82</v>
      </c>
      <c r="DX8" s="1" t="s">
        <v>83</v>
      </c>
      <c r="DY8" s="1" t="s">
        <v>87</v>
      </c>
      <c r="DZ8" s="1" t="s">
        <v>82</v>
      </c>
      <c r="EA8" s="1" t="s">
        <v>83</v>
      </c>
      <c r="EB8" s="1" t="s">
        <v>87</v>
      </c>
      <c r="EC8" s="58" t="s">
        <v>82</v>
      </c>
      <c r="ED8" s="58" t="s">
        <v>83</v>
      </c>
      <c r="EE8" s="1" t="s">
        <v>87</v>
      </c>
      <c r="EF8" s="717"/>
      <c r="EG8" s="742"/>
      <c r="EH8" s="699"/>
      <c r="EI8" s="699"/>
      <c r="EJ8" s="699"/>
    </row>
    <row r="9" spans="122:140" ht="15.75" x14ac:dyDescent="0.25">
      <c r="DR9" s="79" t="s">
        <v>6</v>
      </c>
      <c r="DS9" s="79" t="s">
        <v>7</v>
      </c>
      <c r="DT9" s="71">
        <v>193</v>
      </c>
      <c r="DU9" s="71">
        <v>311</v>
      </c>
      <c r="DV9" s="82">
        <v>0.62057877813504825</v>
      </c>
      <c r="DW9" s="71">
        <v>94</v>
      </c>
      <c r="DX9" s="71">
        <v>147</v>
      </c>
      <c r="DY9" s="82">
        <v>0.63945578231292521</v>
      </c>
      <c r="DZ9" s="59">
        <v>130</v>
      </c>
      <c r="EA9" s="59">
        <v>195</v>
      </c>
      <c r="EB9" s="84">
        <v>0.66666666666666663</v>
      </c>
      <c r="EC9" s="9">
        <v>165</v>
      </c>
      <c r="ED9" s="9">
        <v>278</v>
      </c>
      <c r="EE9" s="325">
        <f>EC9/ED9</f>
        <v>0.59352517985611508</v>
      </c>
      <c r="EF9" s="13">
        <f>IF(EE9&lt;$EF$3,$EF$3-EE9,"-")</f>
        <v>6.4748201438848962E-3</v>
      </c>
      <c r="EG9" s="13">
        <f>IFERROR(EF9*0.15,"-")</f>
        <v>9.7122302158273441E-4</v>
      </c>
      <c r="EH9" s="324">
        <f>IFERROR((EG9+EE9),IF(EE9&gt;=$EF$3,EE9))</f>
        <v>0.59449640287769778</v>
      </c>
      <c r="EI9" s="15">
        <f>EJ9*EH9</f>
        <v>165.26999999999998</v>
      </c>
      <c r="EJ9" s="15">
        <f>ED9</f>
        <v>278</v>
      </c>
    </row>
    <row r="10" spans="122:140" ht="15.75" x14ac:dyDescent="0.25">
      <c r="DR10" s="79" t="s">
        <v>8</v>
      </c>
      <c r="DS10" s="79" t="s">
        <v>7</v>
      </c>
      <c r="DT10" s="71">
        <v>74</v>
      </c>
      <c r="DU10" s="71">
        <v>106</v>
      </c>
      <c r="DV10" s="82">
        <v>0.69811320754716977</v>
      </c>
      <c r="DW10" s="71">
        <v>57</v>
      </c>
      <c r="DX10" s="71">
        <v>73</v>
      </c>
      <c r="DY10" s="82">
        <v>0.78082191780821919</v>
      </c>
      <c r="DZ10" s="59">
        <v>68</v>
      </c>
      <c r="EA10" s="59">
        <v>98</v>
      </c>
      <c r="EB10" s="84">
        <v>0.69387755102040816</v>
      </c>
      <c r="EC10" s="9">
        <v>88</v>
      </c>
      <c r="ED10" s="9">
        <v>127</v>
      </c>
      <c r="EE10" s="121">
        <f t="shared" ref="EE10:EE25" si="0">EC10/ED10</f>
        <v>0.69291338582677164</v>
      </c>
      <c r="EF10" s="13" t="str">
        <f t="shared" ref="EF10:EF33" si="1">IF(EE10&lt;$EF$3,$EF$3-EE10,"-")</f>
        <v>-</v>
      </c>
      <c r="EG10" s="13" t="str">
        <f t="shared" ref="EG10:EG25" si="2">IFERROR(EF10*0.15,"-")</f>
        <v>-</v>
      </c>
      <c r="EH10" s="326">
        <f t="shared" ref="EH10:EH25" si="3">IFERROR((EG10+EE10),IF(EE10&gt;=$EF$3,EE10))</f>
        <v>0.69291338582677164</v>
      </c>
      <c r="EI10" s="15">
        <f>EJ10*EH10</f>
        <v>88</v>
      </c>
      <c r="EJ10" s="15">
        <f t="shared" ref="EJ10:EJ41" si="4">ED10</f>
        <v>127</v>
      </c>
    </row>
    <row r="11" spans="122:140" ht="15.75" x14ac:dyDescent="0.25">
      <c r="DR11" s="79" t="s">
        <v>9</v>
      </c>
      <c r="DS11" s="79" t="s">
        <v>7</v>
      </c>
      <c r="DT11" s="71">
        <v>75</v>
      </c>
      <c r="DU11" s="71">
        <v>95</v>
      </c>
      <c r="DV11" s="82">
        <v>0.78947368421052633</v>
      </c>
      <c r="DW11" s="71">
        <v>42</v>
      </c>
      <c r="DX11" s="71">
        <v>57</v>
      </c>
      <c r="DY11" s="82">
        <v>0.73684210526315785</v>
      </c>
      <c r="DZ11" s="59">
        <v>51</v>
      </c>
      <c r="EA11" s="59">
        <v>73</v>
      </c>
      <c r="EB11" s="84">
        <v>0.69863013698630139</v>
      </c>
      <c r="EC11" s="9">
        <v>93</v>
      </c>
      <c r="ED11" s="9">
        <v>153</v>
      </c>
      <c r="EE11" s="121">
        <f t="shared" si="0"/>
        <v>0.60784313725490191</v>
      </c>
      <c r="EF11" s="13" t="str">
        <f t="shared" si="1"/>
        <v>-</v>
      </c>
      <c r="EG11" s="13" t="str">
        <f t="shared" si="2"/>
        <v>-</v>
      </c>
      <c r="EH11" s="324">
        <f t="shared" si="3"/>
        <v>0.60784313725490191</v>
      </c>
      <c r="EI11" s="15">
        <f>EJ11*EH11</f>
        <v>92.999999999999986</v>
      </c>
      <c r="EJ11" s="15">
        <f t="shared" si="4"/>
        <v>153</v>
      </c>
    </row>
    <row r="12" spans="122:140" ht="15.75" x14ac:dyDescent="0.25">
      <c r="DR12" s="79" t="s">
        <v>10</v>
      </c>
      <c r="DS12" s="79" t="s">
        <v>7</v>
      </c>
      <c r="DT12" s="71">
        <v>4</v>
      </c>
      <c r="DU12" s="71">
        <v>7</v>
      </c>
      <c r="DV12" s="82">
        <v>0.5714285714285714</v>
      </c>
      <c r="DW12" s="71">
        <v>11</v>
      </c>
      <c r="DX12" s="71">
        <v>11</v>
      </c>
      <c r="DY12" s="82">
        <v>1</v>
      </c>
      <c r="DZ12" s="59">
        <v>13</v>
      </c>
      <c r="EA12" s="59">
        <v>13</v>
      </c>
      <c r="EB12" s="84">
        <v>1</v>
      </c>
      <c r="EC12" s="9">
        <v>22</v>
      </c>
      <c r="ED12" s="9">
        <v>24</v>
      </c>
      <c r="EE12" s="121">
        <f t="shared" si="0"/>
        <v>0.91666666666666663</v>
      </c>
      <c r="EF12" s="13" t="str">
        <f t="shared" si="1"/>
        <v>-</v>
      </c>
      <c r="EG12" s="13" t="str">
        <f t="shared" si="2"/>
        <v>-</v>
      </c>
      <c r="EH12" s="324">
        <f>IFERROR((EG12+EE12),IF(EE12&gt;=$EF$3,$EF$3))</f>
        <v>0.6</v>
      </c>
      <c r="EI12" s="15">
        <f t="shared" ref="EI12:EI19" si="5">EJ12*EH12</f>
        <v>14.399999999999999</v>
      </c>
      <c r="EJ12" s="15">
        <f t="shared" si="4"/>
        <v>24</v>
      </c>
    </row>
    <row r="13" spans="122:140" ht="15.75" x14ac:dyDescent="0.25">
      <c r="DR13" s="79" t="s">
        <v>11</v>
      </c>
      <c r="DS13" s="79" t="s">
        <v>7</v>
      </c>
      <c r="DT13" s="71">
        <v>90</v>
      </c>
      <c r="DU13" s="71">
        <v>163</v>
      </c>
      <c r="DV13" s="82">
        <v>0.55214723926380371</v>
      </c>
      <c r="DW13" s="71">
        <v>45</v>
      </c>
      <c r="DX13" s="71">
        <v>72</v>
      </c>
      <c r="DY13" s="82">
        <v>0.625</v>
      </c>
      <c r="DZ13" s="59">
        <v>57</v>
      </c>
      <c r="EA13" s="59">
        <v>91</v>
      </c>
      <c r="EB13" s="84">
        <v>0.62637362637362637</v>
      </c>
      <c r="EC13" s="9">
        <v>95</v>
      </c>
      <c r="ED13" s="9">
        <v>158</v>
      </c>
      <c r="EE13" s="121">
        <f t="shared" si="0"/>
        <v>0.60126582278481011</v>
      </c>
      <c r="EF13" s="13" t="str">
        <f t="shared" si="1"/>
        <v>-</v>
      </c>
      <c r="EG13" s="13" t="str">
        <f t="shared" si="2"/>
        <v>-</v>
      </c>
      <c r="EH13" s="324">
        <f t="shared" si="3"/>
        <v>0.60126582278481011</v>
      </c>
      <c r="EI13" s="15">
        <f t="shared" ref="EI13:EI18" si="6">EJ13*EH13</f>
        <v>95</v>
      </c>
      <c r="EJ13" s="15">
        <f t="shared" si="4"/>
        <v>158</v>
      </c>
    </row>
    <row r="14" spans="122:140" ht="15.75" x14ac:dyDescent="0.25">
      <c r="DR14" s="79" t="s">
        <v>12</v>
      </c>
      <c r="DS14" s="79" t="s">
        <v>7</v>
      </c>
      <c r="DT14" s="71">
        <v>100</v>
      </c>
      <c r="DU14" s="71">
        <v>157</v>
      </c>
      <c r="DV14" s="82">
        <v>0.63694267515923564</v>
      </c>
      <c r="DW14" s="71">
        <v>54</v>
      </c>
      <c r="DX14" s="71">
        <v>80</v>
      </c>
      <c r="DY14" s="82">
        <v>0.67500000000000004</v>
      </c>
      <c r="DZ14" s="59">
        <v>81</v>
      </c>
      <c r="EA14" s="59">
        <v>113</v>
      </c>
      <c r="EB14" s="84">
        <v>0.7168141592920354</v>
      </c>
      <c r="EC14" s="9">
        <v>87</v>
      </c>
      <c r="ED14" s="9">
        <v>147</v>
      </c>
      <c r="EE14" s="121">
        <f t="shared" si="0"/>
        <v>0.59183673469387754</v>
      </c>
      <c r="EF14" s="13">
        <f t="shared" si="1"/>
        <v>8.1632653061224358E-3</v>
      </c>
      <c r="EG14" s="13">
        <f t="shared" si="2"/>
        <v>1.2244897959183653E-3</v>
      </c>
      <c r="EH14" s="324">
        <f t="shared" si="3"/>
        <v>0.59306122448979592</v>
      </c>
      <c r="EI14" s="15">
        <f t="shared" si="6"/>
        <v>87.18</v>
      </c>
      <c r="EJ14" s="15">
        <f t="shared" si="4"/>
        <v>147</v>
      </c>
    </row>
    <row r="15" spans="122:140" ht="15.75" x14ac:dyDescent="0.25">
      <c r="DR15" s="79" t="s">
        <v>13</v>
      </c>
      <c r="DS15" s="79" t="s">
        <v>7</v>
      </c>
      <c r="DT15" s="71">
        <v>99</v>
      </c>
      <c r="DU15" s="71">
        <v>151</v>
      </c>
      <c r="DV15" s="82">
        <v>0.6556291390728477</v>
      </c>
      <c r="DW15" s="71">
        <v>52</v>
      </c>
      <c r="DX15" s="71">
        <v>72</v>
      </c>
      <c r="DY15" s="82">
        <v>0.72222222222222221</v>
      </c>
      <c r="DZ15" s="59">
        <v>63</v>
      </c>
      <c r="EA15" s="59">
        <v>88</v>
      </c>
      <c r="EB15" s="84">
        <v>0.71590909090909094</v>
      </c>
      <c r="EC15" s="9">
        <v>103</v>
      </c>
      <c r="ED15" s="9">
        <v>154</v>
      </c>
      <c r="EE15" s="121">
        <f t="shared" si="0"/>
        <v>0.66883116883116878</v>
      </c>
      <c r="EF15" s="13" t="str">
        <f t="shared" si="1"/>
        <v>-</v>
      </c>
      <c r="EG15" s="13" t="str">
        <f t="shared" si="2"/>
        <v>-</v>
      </c>
      <c r="EH15" s="326">
        <f t="shared" si="3"/>
        <v>0.66883116883116878</v>
      </c>
      <c r="EI15" s="15">
        <f t="shared" si="6"/>
        <v>102.99999999999999</v>
      </c>
      <c r="EJ15" s="15">
        <f t="shared" si="4"/>
        <v>154</v>
      </c>
    </row>
    <row r="16" spans="122:140" ht="15.75" x14ac:dyDescent="0.25">
      <c r="DR16" s="79" t="s">
        <v>14</v>
      </c>
      <c r="DS16" s="79" t="s">
        <v>7</v>
      </c>
      <c r="DT16" s="71">
        <v>39</v>
      </c>
      <c r="DU16" s="71">
        <v>87</v>
      </c>
      <c r="DV16" s="82">
        <v>0.44827586206896552</v>
      </c>
      <c r="DW16" s="71">
        <v>26</v>
      </c>
      <c r="DX16" s="71">
        <v>48</v>
      </c>
      <c r="DY16" s="82">
        <v>0.54166666666666663</v>
      </c>
      <c r="DZ16" s="59">
        <v>32</v>
      </c>
      <c r="EA16" s="59">
        <v>63</v>
      </c>
      <c r="EB16" s="84">
        <v>0.50793650793650791</v>
      </c>
      <c r="EC16" s="9">
        <v>63</v>
      </c>
      <c r="ED16" s="9">
        <v>114</v>
      </c>
      <c r="EE16" s="121">
        <f t="shared" si="0"/>
        <v>0.55263157894736847</v>
      </c>
      <c r="EF16" s="13">
        <f t="shared" si="1"/>
        <v>4.7368421052631504E-2</v>
      </c>
      <c r="EG16" s="13">
        <f t="shared" si="2"/>
        <v>7.1052631578947256E-3</v>
      </c>
      <c r="EH16" s="324">
        <f t="shared" si="3"/>
        <v>0.5597368421052632</v>
      </c>
      <c r="EI16" s="15">
        <f t="shared" si="6"/>
        <v>63.81</v>
      </c>
      <c r="EJ16" s="15">
        <f t="shared" si="4"/>
        <v>114</v>
      </c>
    </row>
    <row r="17" spans="122:140" ht="15.75" x14ac:dyDescent="0.25">
      <c r="DR17" s="79" t="s">
        <v>15</v>
      </c>
      <c r="DS17" s="79" t="s">
        <v>7</v>
      </c>
      <c r="DT17" s="71">
        <v>22</v>
      </c>
      <c r="DU17" s="71">
        <v>24</v>
      </c>
      <c r="DV17" s="82">
        <v>0.91666666666666663</v>
      </c>
      <c r="DW17" s="71">
        <v>5</v>
      </c>
      <c r="DX17" s="71">
        <v>5</v>
      </c>
      <c r="DY17" s="82">
        <v>1</v>
      </c>
      <c r="DZ17" s="59">
        <v>6</v>
      </c>
      <c r="EA17" s="59">
        <v>6</v>
      </c>
      <c r="EB17" s="84">
        <v>1</v>
      </c>
      <c r="EC17" s="9">
        <v>7</v>
      </c>
      <c r="ED17" s="9">
        <v>9</v>
      </c>
      <c r="EE17" s="121">
        <f t="shared" si="0"/>
        <v>0.77777777777777779</v>
      </c>
      <c r="EF17" s="13" t="str">
        <f t="shared" si="1"/>
        <v>-</v>
      </c>
      <c r="EG17" s="13" t="str">
        <f t="shared" si="2"/>
        <v>-</v>
      </c>
      <c r="EH17" s="324">
        <f>IFERROR((EG17+EE17),IF(EE17&gt;=$EF$3,$EF$3))</f>
        <v>0.6</v>
      </c>
      <c r="EI17" s="15">
        <f t="shared" si="6"/>
        <v>5.3999999999999995</v>
      </c>
      <c r="EJ17" s="15">
        <f t="shared" si="4"/>
        <v>9</v>
      </c>
    </row>
    <row r="18" spans="122:140" ht="15.75" x14ac:dyDescent="0.25">
      <c r="DR18" s="79" t="s">
        <v>16</v>
      </c>
      <c r="DS18" s="79" t="s">
        <v>7</v>
      </c>
      <c r="DT18" s="71">
        <v>35</v>
      </c>
      <c r="DU18" s="71">
        <v>53</v>
      </c>
      <c r="DV18" s="82">
        <v>0.660377358490566</v>
      </c>
      <c r="DW18" s="71">
        <v>25</v>
      </c>
      <c r="DX18" s="71">
        <v>26</v>
      </c>
      <c r="DY18" s="82">
        <v>0.96153846153846156</v>
      </c>
      <c r="DZ18" s="59">
        <v>29</v>
      </c>
      <c r="EA18" s="59">
        <v>32</v>
      </c>
      <c r="EB18" s="84">
        <v>0.90625</v>
      </c>
      <c r="EC18" s="9">
        <v>34</v>
      </c>
      <c r="ED18" s="9">
        <v>42</v>
      </c>
      <c r="EE18" s="121">
        <f t="shared" si="0"/>
        <v>0.80952380952380953</v>
      </c>
      <c r="EF18" s="13" t="str">
        <f t="shared" si="1"/>
        <v>-</v>
      </c>
      <c r="EG18" s="13" t="str">
        <f t="shared" si="2"/>
        <v>-</v>
      </c>
      <c r="EH18" s="326">
        <f t="shared" si="3"/>
        <v>0.80952380952380953</v>
      </c>
      <c r="EI18" s="15">
        <f t="shared" si="6"/>
        <v>34</v>
      </c>
      <c r="EJ18" s="15">
        <f t="shared" si="4"/>
        <v>42</v>
      </c>
    </row>
    <row r="19" spans="122:140" ht="15.75" x14ac:dyDescent="0.25">
      <c r="DR19" s="79" t="s">
        <v>17</v>
      </c>
      <c r="DS19" s="79" t="s">
        <v>7</v>
      </c>
      <c r="DT19" s="71">
        <v>54</v>
      </c>
      <c r="DU19" s="71">
        <v>72</v>
      </c>
      <c r="DV19" s="82">
        <v>0.75</v>
      </c>
      <c r="DW19" s="71">
        <v>23</v>
      </c>
      <c r="DX19" s="71">
        <v>30</v>
      </c>
      <c r="DY19" s="82">
        <v>0.76666666666666672</v>
      </c>
      <c r="DZ19" s="59">
        <v>35</v>
      </c>
      <c r="EA19" s="59">
        <v>43</v>
      </c>
      <c r="EB19" s="84">
        <v>0.81395348837209303</v>
      </c>
      <c r="EC19" s="9">
        <v>53</v>
      </c>
      <c r="ED19" s="9">
        <v>112</v>
      </c>
      <c r="EE19" s="121">
        <f t="shared" si="0"/>
        <v>0.4732142857142857</v>
      </c>
      <c r="EF19" s="13">
        <f t="shared" si="1"/>
        <v>0.12678571428571428</v>
      </c>
      <c r="EG19" s="13">
        <f t="shared" si="2"/>
        <v>1.9017857142857142E-2</v>
      </c>
      <c r="EH19" s="324">
        <f t="shared" si="3"/>
        <v>0.49223214285714284</v>
      </c>
      <c r="EI19" s="15">
        <f t="shared" si="5"/>
        <v>55.129999999999995</v>
      </c>
      <c r="EJ19" s="15">
        <f t="shared" si="4"/>
        <v>112</v>
      </c>
    </row>
    <row r="20" spans="122:140" ht="15.75" x14ac:dyDescent="0.25">
      <c r="DR20" s="79" t="s">
        <v>18</v>
      </c>
      <c r="DS20" s="79" t="s">
        <v>7</v>
      </c>
      <c r="DT20" s="71">
        <v>74</v>
      </c>
      <c r="DU20" s="71">
        <v>135</v>
      </c>
      <c r="DV20" s="82">
        <v>0.54814814814814816</v>
      </c>
      <c r="DW20" s="71">
        <v>46</v>
      </c>
      <c r="DX20" s="71">
        <v>73</v>
      </c>
      <c r="DY20" s="82">
        <v>0.63013698630136983</v>
      </c>
      <c r="DZ20" s="59">
        <v>58</v>
      </c>
      <c r="EA20" s="59">
        <v>95</v>
      </c>
      <c r="EB20" s="84">
        <v>0.61052631578947369</v>
      </c>
      <c r="EC20" s="9">
        <v>54</v>
      </c>
      <c r="ED20" s="9">
        <v>114</v>
      </c>
      <c r="EE20" s="121">
        <f t="shared" si="0"/>
        <v>0.47368421052631576</v>
      </c>
      <c r="EF20" s="13">
        <f t="shared" si="1"/>
        <v>0.12631578947368421</v>
      </c>
      <c r="EG20" s="13">
        <f t="shared" si="2"/>
        <v>1.8947368421052633E-2</v>
      </c>
      <c r="EH20" s="324">
        <f t="shared" si="3"/>
        <v>0.49263157894736842</v>
      </c>
      <c r="EI20" s="15">
        <f t="shared" ref="EI20:EI25" si="7">EJ20*EH20</f>
        <v>56.16</v>
      </c>
      <c r="EJ20" s="15">
        <f t="shared" si="4"/>
        <v>114</v>
      </c>
    </row>
    <row r="21" spans="122:140" ht="15.75" x14ac:dyDescent="0.25">
      <c r="DR21" s="79" t="s">
        <v>19</v>
      </c>
      <c r="DS21" s="79" t="s">
        <v>7</v>
      </c>
      <c r="DT21" s="71">
        <v>29</v>
      </c>
      <c r="DU21" s="71">
        <v>42</v>
      </c>
      <c r="DV21" s="82">
        <v>0.69047619047619047</v>
      </c>
      <c r="DW21" s="71">
        <v>12</v>
      </c>
      <c r="DX21" s="71">
        <v>16</v>
      </c>
      <c r="DY21" s="82">
        <v>0.75</v>
      </c>
      <c r="DZ21" s="59">
        <v>16</v>
      </c>
      <c r="EA21" s="59">
        <v>22</v>
      </c>
      <c r="EB21" s="84">
        <v>0.72727272727272729</v>
      </c>
      <c r="EC21" s="9">
        <v>27</v>
      </c>
      <c r="ED21" s="9">
        <v>38</v>
      </c>
      <c r="EE21" s="121">
        <f t="shared" si="0"/>
        <v>0.71052631578947367</v>
      </c>
      <c r="EF21" s="13" t="str">
        <f t="shared" si="1"/>
        <v>-</v>
      </c>
      <c r="EG21" s="13" t="str">
        <f t="shared" si="2"/>
        <v>-</v>
      </c>
      <c r="EH21" s="326">
        <f t="shared" si="3"/>
        <v>0.71052631578947367</v>
      </c>
      <c r="EI21" s="15">
        <f t="shared" si="7"/>
        <v>27</v>
      </c>
      <c r="EJ21" s="15">
        <f t="shared" si="4"/>
        <v>38</v>
      </c>
    </row>
    <row r="22" spans="122:140" ht="15.75" x14ac:dyDescent="0.25">
      <c r="DR22" s="79" t="s">
        <v>20</v>
      </c>
      <c r="DS22" s="79" t="s">
        <v>7</v>
      </c>
      <c r="DT22" s="71">
        <v>27</v>
      </c>
      <c r="DU22" s="71">
        <v>33</v>
      </c>
      <c r="DV22" s="82">
        <v>0.81818181818181823</v>
      </c>
      <c r="DW22" s="71">
        <v>12</v>
      </c>
      <c r="DX22" s="71">
        <v>16</v>
      </c>
      <c r="DY22" s="82">
        <v>0.75</v>
      </c>
      <c r="DZ22" s="59">
        <v>19</v>
      </c>
      <c r="EA22" s="59">
        <v>23</v>
      </c>
      <c r="EB22" s="84">
        <v>0.82608695652173914</v>
      </c>
      <c r="EC22" s="9">
        <v>20</v>
      </c>
      <c r="ED22" s="9">
        <v>29</v>
      </c>
      <c r="EE22" s="121">
        <f t="shared" si="0"/>
        <v>0.68965517241379315</v>
      </c>
      <c r="EF22" s="13" t="str">
        <f t="shared" si="1"/>
        <v>-</v>
      </c>
      <c r="EG22" s="13" t="str">
        <f t="shared" si="2"/>
        <v>-</v>
      </c>
      <c r="EH22" s="326">
        <f t="shared" si="3"/>
        <v>0.68965517241379315</v>
      </c>
      <c r="EI22" s="15">
        <f t="shared" si="7"/>
        <v>20</v>
      </c>
      <c r="EJ22" s="15">
        <f t="shared" si="4"/>
        <v>29</v>
      </c>
    </row>
    <row r="23" spans="122:140" ht="15.75" x14ac:dyDescent="0.25">
      <c r="DR23" s="79" t="s">
        <v>21</v>
      </c>
      <c r="DS23" s="79" t="s">
        <v>7</v>
      </c>
      <c r="DT23" s="71">
        <v>15</v>
      </c>
      <c r="DU23" s="71">
        <v>23</v>
      </c>
      <c r="DV23" s="82">
        <v>0.65217391304347827</v>
      </c>
      <c r="DW23" s="71">
        <v>17</v>
      </c>
      <c r="DX23" s="71">
        <v>18</v>
      </c>
      <c r="DY23" s="82">
        <v>0.94444444444444442</v>
      </c>
      <c r="DZ23" s="59">
        <v>25</v>
      </c>
      <c r="EA23" s="59">
        <v>27</v>
      </c>
      <c r="EB23" s="84">
        <v>0.92592592592592593</v>
      </c>
      <c r="EC23" s="9">
        <v>27</v>
      </c>
      <c r="ED23" s="9">
        <v>37</v>
      </c>
      <c r="EE23" s="121">
        <f t="shared" si="0"/>
        <v>0.72972972972972971</v>
      </c>
      <c r="EF23" s="13" t="str">
        <f t="shared" si="1"/>
        <v>-</v>
      </c>
      <c r="EG23" s="13" t="str">
        <f t="shared" si="2"/>
        <v>-</v>
      </c>
      <c r="EH23" s="326">
        <f t="shared" si="3"/>
        <v>0.72972972972972971</v>
      </c>
      <c r="EI23" s="15">
        <f t="shared" si="7"/>
        <v>27</v>
      </c>
      <c r="EJ23" s="15">
        <f t="shared" si="4"/>
        <v>37</v>
      </c>
    </row>
    <row r="24" spans="122:140" ht="15.75" x14ac:dyDescent="0.25">
      <c r="DR24" s="79" t="s">
        <v>22</v>
      </c>
      <c r="DS24" s="79" t="s">
        <v>7</v>
      </c>
      <c r="DT24" s="71">
        <v>2</v>
      </c>
      <c r="DU24" s="71">
        <v>6</v>
      </c>
      <c r="DV24" s="82">
        <v>0.33333333333333331</v>
      </c>
      <c r="DW24" s="71">
        <v>1</v>
      </c>
      <c r="DX24" s="71">
        <v>7</v>
      </c>
      <c r="DY24" s="82">
        <v>0.14285714285714285</v>
      </c>
      <c r="DZ24" s="59">
        <v>1</v>
      </c>
      <c r="EA24" s="59">
        <v>7</v>
      </c>
      <c r="EB24" s="84">
        <v>0.14285714285714285</v>
      </c>
      <c r="EC24" s="9">
        <v>9</v>
      </c>
      <c r="ED24" s="9">
        <v>16</v>
      </c>
      <c r="EE24" s="121">
        <f t="shared" si="0"/>
        <v>0.5625</v>
      </c>
      <c r="EF24" s="13">
        <f t="shared" si="1"/>
        <v>3.7499999999999978E-2</v>
      </c>
      <c r="EG24" s="13">
        <f t="shared" si="2"/>
        <v>5.6249999999999963E-3</v>
      </c>
      <c r="EH24" s="324">
        <f t="shared" si="3"/>
        <v>0.56812499999999999</v>
      </c>
      <c r="EI24" s="15">
        <f t="shared" si="7"/>
        <v>9.09</v>
      </c>
      <c r="EJ24" s="15">
        <f t="shared" si="4"/>
        <v>16</v>
      </c>
    </row>
    <row r="25" spans="122:140" ht="15.75" x14ac:dyDescent="0.25">
      <c r="DR25" s="79" t="s">
        <v>23</v>
      </c>
      <c r="DS25" s="79" t="s">
        <v>7</v>
      </c>
      <c r="DT25" s="71">
        <v>50</v>
      </c>
      <c r="DU25" s="71">
        <v>70</v>
      </c>
      <c r="DV25" s="82">
        <v>0.7142857142857143</v>
      </c>
      <c r="DW25" s="71">
        <v>28</v>
      </c>
      <c r="DX25" s="71">
        <v>42</v>
      </c>
      <c r="DY25" s="82">
        <v>0.66666666666666663</v>
      </c>
      <c r="DZ25" s="59">
        <v>35</v>
      </c>
      <c r="EA25" s="59">
        <v>55</v>
      </c>
      <c r="EB25" s="84">
        <v>0.63636363636363635</v>
      </c>
      <c r="EC25" s="9">
        <v>50</v>
      </c>
      <c r="ED25" s="9">
        <v>87</v>
      </c>
      <c r="EE25" s="121">
        <f t="shared" si="0"/>
        <v>0.57471264367816088</v>
      </c>
      <c r="EF25" s="13">
        <f t="shared" si="1"/>
        <v>2.5287356321839094E-2</v>
      </c>
      <c r="EG25" s="13">
        <f t="shared" si="2"/>
        <v>3.7931034482758638E-3</v>
      </c>
      <c r="EH25" s="324">
        <f t="shared" si="3"/>
        <v>0.57850574712643676</v>
      </c>
      <c r="EI25" s="15">
        <f t="shared" si="7"/>
        <v>50.33</v>
      </c>
      <c r="EJ25" s="15">
        <f t="shared" si="4"/>
        <v>87</v>
      </c>
    </row>
    <row r="26" spans="122:140" ht="15.75" x14ac:dyDescent="0.25">
      <c r="DR26" s="343"/>
      <c r="DS26" s="344" t="s">
        <v>7</v>
      </c>
      <c r="DT26" s="350">
        <v>982</v>
      </c>
      <c r="DU26" s="350">
        <v>1535</v>
      </c>
      <c r="DV26" s="351">
        <v>0.6397394136807818</v>
      </c>
      <c r="DW26" s="350">
        <v>550</v>
      </c>
      <c r="DX26" s="350">
        <v>793</v>
      </c>
      <c r="DY26" s="351">
        <v>0.69356872635561162</v>
      </c>
      <c r="DZ26" s="352">
        <v>719</v>
      </c>
      <c r="EA26" s="352">
        <v>1044</v>
      </c>
      <c r="EB26" s="353">
        <v>0.68869731800766287</v>
      </c>
      <c r="EC26" s="347">
        <f>SUM(EC9:EC25)</f>
        <v>997</v>
      </c>
      <c r="ED26" s="347">
        <f>SUM(ED9:ED25)</f>
        <v>1639</v>
      </c>
      <c r="EE26" s="348">
        <f>EC26/ED26</f>
        <v>0.6082977425259305</v>
      </c>
      <c r="EF26" s="346"/>
      <c r="EG26" s="346"/>
      <c r="EH26" s="354"/>
      <c r="EI26" s="346"/>
      <c r="EJ26" s="355"/>
    </row>
    <row r="27" spans="122:140" ht="15.75" x14ac:dyDescent="0.25">
      <c r="DR27" s="79" t="s">
        <v>24</v>
      </c>
      <c r="DS27" s="79" t="s">
        <v>25</v>
      </c>
      <c r="DT27" s="71">
        <v>28</v>
      </c>
      <c r="DU27" s="71">
        <v>31</v>
      </c>
      <c r="DV27" s="82">
        <v>0.90322580645161288</v>
      </c>
      <c r="DW27" s="71">
        <v>14</v>
      </c>
      <c r="DX27" s="71">
        <v>21</v>
      </c>
      <c r="DY27" s="82">
        <v>0.66666666666666663</v>
      </c>
      <c r="DZ27" s="59">
        <v>18</v>
      </c>
      <c r="EA27" s="59">
        <v>25</v>
      </c>
      <c r="EB27" s="84">
        <v>0.72</v>
      </c>
      <c r="EC27" s="9">
        <v>18</v>
      </c>
      <c r="ED27" s="9">
        <v>21</v>
      </c>
      <c r="EE27" s="121">
        <f>EC27/ED27</f>
        <v>0.8571428571428571</v>
      </c>
      <c r="EF27" s="13" t="str">
        <f t="shared" si="1"/>
        <v>-</v>
      </c>
      <c r="EG27" s="13" t="str">
        <f>IFERROR(EF27*0.15,"-")</f>
        <v>-</v>
      </c>
      <c r="EH27" s="326">
        <f t="shared" ref="EH27:EH33" si="8">IFERROR((EG27+EE27),IF(EE27&gt;=$EF$3,EE27))</f>
        <v>0.8571428571428571</v>
      </c>
      <c r="EI27" s="15">
        <f>EJ27*EH27</f>
        <v>18</v>
      </c>
      <c r="EJ27" s="15">
        <f t="shared" si="4"/>
        <v>21</v>
      </c>
    </row>
    <row r="28" spans="122:140" ht="15.75" x14ac:dyDescent="0.25">
      <c r="DR28" s="79" t="s">
        <v>26</v>
      </c>
      <c r="DS28" s="79" t="s">
        <v>25</v>
      </c>
      <c r="DT28" s="71">
        <v>3</v>
      </c>
      <c r="DU28" s="71">
        <v>3</v>
      </c>
      <c r="DV28" s="82">
        <v>1</v>
      </c>
      <c r="DW28" s="71">
        <v>2</v>
      </c>
      <c r="DX28" s="71">
        <v>2</v>
      </c>
      <c r="DY28" s="82">
        <v>1</v>
      </c>
      <c r="DZ28" s="59">
        <v>2</v>
      </c>
      <c r="EA28" s="59">
        <v>2</v>
      </c>
      <c r="EB28" s="84">
        <v>1</v>
      </c>
      <c r="EC28" s="9">
        <v>3</v>
      </c>
      <c r="ED28" s="9">
        <v>4</v>
      </c>
      <c r="EE28" s="121">
        <f t="shared" ref="EE28:EE33" si="9">EC28/ED28</f>
        <v>0.75</v>
      </c>
      <c r="EF28" s="13" t="str">
        <f t="shared" si="1"/>
        <v>-</v>
      </c>
      <c r="EG28" s="13" t="str">
        <f t="shared" ref="EG28:EG33" si="10">IFERROR(EF28*0.15,"-")</f>
        <v>-</v>
      </c>
      <c r="EH28" s="324">
        <f>IFERROR((EG28+EE28),IF(EE28&gt;=$EF$3,$EF$3))</f>
        <v>0.6</v>
      </c>
      <c r="EI28" s="15">
        <f t="shared" ref="EI28:EI33" si="11">EJ28*EH28</f>
        <v>2.4</v>
      </c>
      <c r="EJ28" s="15">
        <f t="shared" si="4"/>
        <v>4</v>
      </c>
    </row>
    <row r="29" spans="122:140" ht="15.75" x14ac:dyDescent="0.25">
      <c r="DR29" s="79" t="s">
        <v>27</v>
      </c>
      <c r="DS29" s="79" t="s">
        <v>25</v>
      </c>
      <c r="DT29" s="71">
        <v>12</v>
      </c>
      <c r="DU29" s="71">
        <v>16</v>
      </c>
      <c r="DV29" s="82">
        <v>0.75</v>
      </c>
      <c r="DW29" s="71">
        <v>5</v>
      </c>
      <c r="DX29" s="71">
        <v>6</v>
      </c>
      <c r="DY29" s="82">
        <v>0.83333333333333337</v>
      </c>
      <c r="DZ29" s="59">
        <v>5</v>
      </c>
      <c r="EA29" s="59">
        <v>8</v>
      </c>
      <c r="EB29" s="84">
        <v>0.625</v>
      </c>
      <c r="EC29" s="9">
        <v>21</v>
      </c>
      <c r="ED29" s="9">
        <v>35</v>
      </c>
      <c r="EE29" s="121">
        <f t="shared" si="9"/>
        <v>0.6</v>
      </c>
      <c r="EF29" s="13" t="str">
        <f t="shared" si="1"/>
        <v>-</v>
      </c>
      <c r="EG29" s="13" t="str">
        <f t="shared" si="10"/>
        <v>-</v>
      </c>
      <c r="EH29" s="324">
        <f t="shared" si="8"/>
        <v>0.6</v>
      </c>
      <c r="EI29" s="15">
        <f t="shared" si="11"/>
        <v>21</v>
      </c>
      <c r="EJ29" s="15">
        <f t="shared" si="4"/>
        <v>35</v>
      </c>
    </row>
    <row r="30" spans="122:140" ht="15.75" x14ac:dyDescent="0.25">
      <c r="DR30" s="79" t="s">
        <v>28</v>
      </c>
      <c r="DS30" s="79" t="s">
        <v>25</v>
      </c>
      <c r="DT30" s="71">
        <v>17</v>
      </c>
      <c r="DU30" s="71">
        <v>29</v>
      </c>
      <c r="DV30" s="82">
        <v>0.58620689655172409</v>
      </c>
      <c r="DW30" s="71">
        <v>9</v>
      </c>
      <c r="DX30" s="71">
        <v>14</v>
      </c>
      <c r="DY30" s="82">
        <v>0.6428571428571429</v>
      </c>
      <c r="DZ30" s="59">
        <v>17</v>
      </c>
      <c r="EA30" s="59">
        <v>22</v>
      </c>
      <c r="EB30" s="84">
        <v>0.77272727272727271</v>
      </c>
      <c r="EC30" s="9">
        <v>15</v>
      </c>
      <c r="ED30" s="9">
        <v>20</v>
      </c>
      <c r="EE30" s="121">
        <f t="shared" si="9"/>
        <v>0.75</v>
      </c>
      <c r="EF30" s="13" t="str">
        <f t="shared" si="1"/>
        <v>-</v>
      </c>
      <c r="EG30" s="13" t="str">
        <f t="shared" si="10"/>
        <v>-</v>
      </c>
      <c r="EH30" s="326">
        <f t="shared" si="8"/>
        <v>0.75</v>
      </c>
      <c r="EI30" s="15">
        <f t="shared" si="11"/>
        <v>15</v>
      </c>
      <c r="EJ30" s="15">
        <f t="shared" si="4"/>
        <v>20</v>
      </c>
    </row>
    <row r="31" spans="122:140" ht="15.75" x14ac:dyDescent="0.25">
      <c r="DR31" s="79" t="s">
        <v>29</v>
      </c>
      <c r="DS31" s="79" t="s">
        <v>25</v>
      </c>
      <c r="DT31" s="71">
        <v>0</v>
      </c>
      <c r="DU31" s="71">
        <v>0</v>
      </c>
      <c r="DV31" s="82" t="s">
        <v>73</v>
      </c>
      <c r="DW31" s="71">
        <v>0</v>
      </c>
      <c r="DX31" s="71">
        <v>0</v>
      </c>
      <c r="DY31" s="82" t="s">
        <v>73</v>
      </c>
      <c r="DZ31" s="59">
        <v>0</v>
      </c>
      <c r="EA31" s="59">
        <v>0</v>
      </c>
      <c r="EB31" s="84">
        <v>1</v>
      </c>
      <c r="EC31" s="9">
        <v>0</v>
      </c>
      <c r="ED31" s="9">
        <v>0</v>
      </c>
      <c r="EE31" s="121">
        <v>1</v>
      </c>
      <c r="EF31" s="13" t="str">
        <f t="shared" si="1"/>
        <v>-</v>
      </c>
      <c r="EG31" s="13" t="str">
        <f t="shared" si="10"/>
        <v>-</v>
      </c>
      <c r="EH31" s="324">
        <v>0.6</v>
      </c>
      <c r="EI31" s="15">
        <f t="shared" si="11"/>
        <v>0</v>
      </c>
      <c r="EJ31" s="15">
        <f t="shared" si="4"/>
        <v>0</v>
      </c>
    </row>
    <row r="32" spans="122:140" ht="15.75" x14ac:dyDescent="0.25">
      <c r="DR32" s="79" t="s">
        <v>30</v>
      </c>
      <c r="DS32" s="79" t="s">
        <v>25</v>
      </c>
      <c r="DT32" s="71">
        <v>24</v>
      </c>
      <c r="DU32" s="71">
        <v>34</v>
      </c>
      <c r="DV32" s="82">
        <v>0.70588235294117652</v>
      </c>
      <c r="DW32" s="71">
        <v>21</v>
      </c>
      <c r="DX32" s="71">
        <v>23</v>
      </c>
      <c r="DY32" s="82">
        <v>0.91304347826086951</v>
      </c>
      <c r="DZ32" s="59">
        <v>24</v>
      </c>
      <c r="EA32" s="59">
        <v>26</v>
      </c>
      <c r="EB32" s="84">
        <v>0.92307692307692313</v>
      </c>
      <c r="EC32" s="9">
        <v>21</v>
      </c>
      <c r="ED32" s="9">
        <v>23</v>
      </c>
      <c r="EE32" s="121">
        <f t="shared" si="9"/>
        <v>0.91304347826086951</v>
      </c>
      <c r="EF32" s="13" t="str">
        <f t="shared" si="1"/>
        <v>-</v>
      </c>
      <c r="EG32" s="13" t="str">
        <f t="shared" si="10"/>
        <v>-</v>
      </c>
      <c r="EH32" s="326">
        <f t="shared" si="8"/>
        <v>0.91304347826086951</v>
      </c>
      <c r="EI32" s="15">
        <f t="shared" si="11"/>
        <v>21</v>
      </c>
      <c r="EJ32" s="15">
        <f t="shared" si="4"/>
        <v>23</v>
      </c>
    </row>
    <row r="33" spans="122:140" ht="15.75" x14ac:dyDescent="0.25">
      <c r="DR33" s="79" t="s">
        <v>31</v>
      </c>
      <c r="DS33" s="79" t="s">
        <v>25</v>
      </c>
      <c r="DT33" s="71">
        <v>31</v>
      </c>
      <c r="DU33" s="71">
        <v>37</v>
      </c>
      <c r="DV33" s="82">
        <v>0.83783783783783783</v>
      </c>
      <c r="DW33" s="71">
        <v>3</v>
      </c>
      <c r="DX33" s="71">
        <v>10</v>
      </c>
      <c r="DY33" s="82">
        <v>0.3</v>
      </c>
      <c r="DZ33" s="59">
        <v>5</v>
      </c>
      <c r="EA33" s="59">
        <v>16</v>
      </c>
      <c r="EB33" s="84">
        <v>0.3125</v>
      </c>
      <c r="EC33" s="9">
        <v>12</v>
      </c>
      <c r="ED33" s="9">
        <v>31</v>
      </c>
      <c r="EE33" s="121">
        <f t="shared" si="9"/>
        <v>0.38709677419354838</v>
      </c>
      <c r="EF33" s="13">
        <f t="shared" si="1"/>
        <v>0.2129032258064516</v>
      </c>
      <c r="EG33" s="13">
        <f t="shared" si="10"/>
        <v>3.1935483870967736E-2</v>
      </c>
      <c r="EH33" s="324">
        <f t="shared" si="8"/>
        <v>0.41903225806451611</v>
      </c>
      <c r="EI33" s="15">
        <f t="shared" si="11"/>
        <v>12.989999999999998</v>
      </c>
      <c r="EJ33" s="15">
        <f t="shared" si="4"/>
        <v>31</v>
      </c>
    </row>
    <row r="34" spans="122:140" ht="15.75" x14ac:dyDescent="0.25">
      <c r="DR34" s="343"/>
      <c r="DS34" s="344" t="s">
        <v>25</v>
      </c>
      <c r="DT34" s="350">
        <v>115</v>
      </c>
      <c r="DU34" s="350">
        <v>150</v>
      </c>
      <c r="DV34" s="351">
        <v>0.76666666666666672</v>
      </c>
      <c r="DW34" s="350">
        <v>54</v>
      </c>
      <c r="DX34" s="350">
        <v>76</v>
      </c>
      <c r="DY34" s="351">
        <v>0.71052631578947367</v>
      </c>
      <c r="DZ34" s="352">
        <v>71</v>
      </c>
      <c r="EA34" s="352">
        <v>99</v>
      </c>
      <c r="EB34" s="353">
        <v>0.71717171717171713</v>
      </c>
      <c r="EC34" s="347">
        <f>SUM(EC27:EC33)</f>
        <v>90</v>
      </c>
      <c r="ED34" s="347">
        <f>SUM(ED27:ED33)</f>
        <v>134</v>
      </c>
      <c r="EE34" s="348">
        <f>EC34/ED34</f>
        <v>0.67164179104477617</v>
      </c>
      <c r="EF34" s="346"/>
      <c r="EG34" s="346"/>
      <c r="EH34" s="354"/>
      <c r="EI34" s="346"/>
      <c r="EJ34" s="355">
        <v>99</v>
      </c>
    </row>
    <row r="35" spans="122:140" ht="15.75" x14ac:dyDescent="0.25">
      <c r="DR35" s="79" t="s">
        <v>32</v>
      </c>
      <c r="DS35" s="79" t="s">
        <v>33</v>
      </c>
      <c r="DT35" s="71">
        <v>88</v>
      </c>
      <c r="DU35" s="71">
        <v>130</v>
      </c>
      <c r="DV35" s="82">
        <v>0.67692307692307696</v>
      </c>
      <c r="DW35" s="71">
        <v>30</v>
      </c>
      <c r="DX35" s="71">
        <v>53</v>
      </c>
      <c r="DY35" s="82">
        <v>0.56603773584905659</v>
      </c>
      <c r="DZ35" s="59">
        <v>40</v>
      </c>
      <c r="EA35" s="59">
        <v>77</v>
      </c>
      <c r="EB35" s="84">
        <v>0.51948051948051943</v>
      </c>
      <c r="EC35" s="9">
        <v>94</v>
      </c>
      <c r="ED35" s="9">
        <v>163</v>
      </c>
      <c r="EE35" s="121">
        <f>EC35/ED35</f>
        <v>0.57668711656441718</v>
      </c>
      <c r="EF35" s="13">
        <f t="shared" ref="EF35:EF41" si="12">IF(EE35&lt;$EF$3,$EF$3-EE35,"-")</f>
        <v>2.3312883435582799E-2</v>
      </c>
      <c r="EG35" s="13">
        <f t="shared" ref="EG35:EG41" si="13">IFERROR(EF35*0.15,"-")</f>
        <v>3.4969325153374198E-3</v>
      </c>
      <c r="EH35" s="324">
        <f t="shared" ref="EH35:EH41" si="14">IFERROR((EG35+EE35),IF(EE35&gt;=$EF$3,EE35))</f>
        <v>0.58018404907975463</v>
      </c>
      <c r="EI35" s="15">
        <f>EJ35*EH35</f>
        <v>94.570000000000007</v>
      </c>
      <c r="EJ35" s="15">
        <f t="shared" si="4"/>
        <v>163</v>
      </c>
    </row>
    <row r="36" spans="122:140" ht="15.75" x14ac:dyDescent="0.25">
      <c r="DR36" s="79" t="s">
        <v>34</v>
      </c>
      <c r="DS36" s="79" t="s">
        <v>33</v>
      </c>
      <c r="DT36" s="71">
        <v>11</v>
      </c>
      <c r="DU36" s="71">
        <v>16</v>
      </c>
      <c r="DV36" s="82">
        <v>0.6875</v>
      </c>
      <c r="DW36" s="71">
        <v>12</v>
      </c>
      <c r="DX36" s="71">
        <v>20</v>
      </c>
      <c r="DY36" s="82">
        <v>0.6</v>
      </c>
      <c r="DZ36" s="59">
        <v>17</v>
      </c>
      <c r="EA36" s="59">
        <v>26</v>
      </c>
      <c r="EB36" s="84">
        <v>0.65384615384615385</v>
      </c>
      <c r="EC36" s="9">
        <v>23</v>
      </c>
      <c r="ED36" s="9">
        <v>32</v>
      </c>
      <c r="EE36" s="121">
        <f t="shared" ref="EE36:EE41" si="15">EC36/ED36</f>
        <v>0.71875</v>
      </c>
      <c r="EF36" s="13" t="str">
        <f t="shared" si="12"/>
        <v>-</v>
      </c>
      <c r="EG36" s="13" t="str">
        <f t="shared" si="13"/>
        <v>-</v>
      </c>
      <c r="EH36" s="326">
        <f t="shared" si="14"/>
        <v>0.71875</v>
      </c>
      <c r="EI36" s="15">
        <f t="shared" ref="EI36:EI41" si="16">EJ36*EH36</f>
        <v>23</v>
      </c>
      <c r="EJ36" s="15">
        <f t="shared" si="4"/>
        <v>32</v>
      </c>
    </row>
    <row r="37" spans="122:140" ht="15.75" x14ac:dyDescent="0.25">
      <c r="DR37" s="79" t="s">
        <v>35</v>
      </c>
      <c r="DS37" s="79" t="s">
        <v>33</v>
      </c>
      <c r="DT37" s="71">
        <v>39</v>
      </c>
      <c r="DU37" s="71">
        <v>88</v>
      </c>
      <c r="DV37" s="82">
        <v>0.44318181818181818</v>
      </c>
      <c r="DW37" s="71">
        <v>12</v>
      </c>
      <c r="DX37" s="71">
        <v>38</v>
      </c>
      <c r="DY37" s="82">
        <v>0.31578947368421051</v>
      </c>
      <c r="DZ37" s="59">
        <v>20</v>
      </c>
      <c r="EA37" s="59">
        <v>53</v>
      </c>
      <c r="EB37" s="84">
        <v>0.37735849056603776</v>
      </c>
      <c r="EC37" s="9">
        <v>61</v>
      </c>
      <c r="ED37" s="9">
        <v>92</v>
      </c>
      <c r="EE37" s="121">
        <f t="shared" si="15"/>
        <v>0.66304347826086951</v>
      </c>
      <c r="EF37" s="13" t="str">
        <f t="shared" si="12"/>
        <v>-</v>
      </c>
      <c r="EG37" s="13" t="str">
        <f t="shared" si="13"/>
        <v>-</v>
      </c>
      <c r="EH37" s="326">
        <f t="shared" si="14"/>
        <v>0.66304347826086951</v>
      </c>
      <c r="EI37" s="15">
        <f t="shared" si="16"/>
        <v>60.999999999999993</v>
      </c>
      <c r="EJ37" s="15">
        <f t="shared" si="4"/>
        <v>92</v>
      </c>
    </row>
    <row r="38" spans="122:140" ht="15.75" x14ac:dyDescent="0.25">
      <c r="DR38" s="79" t="s">
        <v>36</v>
      </c>
      <c r="DS38" s="79" t="s">
        <v>33</v>
      </c>
      <c r="DT38" s="71">
        <v>61</v>
      </c>
      <c r="DU38" s="71">
        <v>101</v>
      </c>
      <c r="DV38" s="82">
        <v>0.60396039603960394</v>
      </c>
      <c r="DW38" s="71">
        <v>34</v>
      </c>
      <c r="DX38" s="71">
        <v>46</v>
      </c>
      <c r="DY38" s="82">
        <v>0.73913043478260865</v>
      </c>
      <c r="DZ38" s="59">
        <v>55</v>
      </c>
      <c r="EA38" s="59">
        <v>74</v>
      </c>
      <c r="EB38" s="84">
        <v>0.7432432432432432</v>
      </c>
      <c r="EC38" s="9">
        <v>42</v>
      </c>
      <c r="ED38" s="9">
        <v>121</v>
      </c>
      <c r="EE38" s="121">
        <f t="shared" si="15"/>
        <v>0.34710743801652894</v>
      </c>
      <c r="EF38" s="13">
        <f t="shared" si="12"/>
        <v>0.25289256198347104</v>
      </c>
      <c r="EG38" s="13">
        <f t="shared" si="13"/>
        <v>3.7933884297520655E-2</v>
      </c>
      <c r="EH38" s="324">
        <f t="shared" si="14"/>
        <v>0.38504132231404958</v>
      </c>
      <c r="EI38" s="15">
        <f t="shared" si="16"/>
        <v>46.589999999999996</v>
      </c>
      <c r="EJ38" s="15">
        <f t="shared" si="4"/>
        <v>121</v>
      </c>
    </row>
    <row r="39" spans="122:140" ht="15.75" x14ac:dyDescent="0.25">
      <c r="DR39" s="79" t="s">
        <v>37</v>
      </c>
      <c r="DS39" s="79" t="s">
        <v>33</v>
      </c>
      <c r="DT39" s="71">
        <v>54</v>
      </c>
      <c r="DU39" s="71">
        <v>91</v>
      </c>
      <c r="DV39" s="82">
        <v>0.59340659340659341</v>
      </c>
      <c r="DW39" s="71">
        <v>70</v>
      </c>
      <c r="DX39" s="71">
        <v>112</v>
      </c>
      <c r="DY39" s="82">
        <v>0.625</v>
      </c>
      <c r="DZ39" s="59">
        <v>82</v>
      </c>
      <c r="EA39" s="59">
        <v>137</v>
      </c>
      <c r="EB39" s="84">
        <v>0.59854014598540151</v>
      </c>
      <c r="EC39" s="9">
        <v>81</v>
      </c>
      <c r="ED39" s="9">
        <v>173</v>
      </c>
      <c r="EE39" s="121">
        <f t="shared" si="15"/>
        <v>0.46820809248554912</v>
      </c>
      <c r="EF39" s="13">
        <f t="shared" si="12"/>
        <v>0.13179190751445086</v>
      </c>
      <c r="EG39" s="13">
        <f t="shared" si="13"/>
        <v>1.9768786127167627E-2</v>
      </c>
      <c r="EH39" s="324">
        <f t="shared" si="14"/>
        <v>0.48797687861271677</v>
      </c>
      <c r="EI39" s="15">
        <f t="shared" si="16"/>
        <v>84.42</v>
      </c>
      <c r="EJ39" s="15">
        <f t="shared" si="4"/>
        <v>173</v>
      </c>
    </row>
    <row r="40" spans="122:140" ht="15.75" x14ac:dyDescent="0.25">
      <c r="DR40" s="79" t="s">
        <v>38</v>
      </c>
      <c r="DS40" s="79" t="s">
        <v>33</v>
      </c>
      <c r="DT40" s="71">
        <v>17</v>
      </c>
      <c r="DU40" s="71">
        <v>21</v>
      </c>
      <c r="DV40" s="82">
        <v>0.80952380952380953</v>
      </c>
      <c r="DW40" s="71">
        <v>19</v>
      </c>
      <c r="DX40" s="71">
        <v>22</v>
      </c>
      <c r="DY40" s="82">
        <v>0.86363636363636365</v>
      </c>
      <c r="DZ40" s="59">
        <v>20</v>
      </c>
      <c r="EA40" s="59">
        <v>23</v>
      </c>
      <c r="EB40" s="84">
        <v>0.86956521739130432</v>
      </c>
      <c r="EC40" s="9">
        <v>27</v>
      </c>
      <c r="ED40" s="9">
        <v>30</v>
      </c>
      <c r="EE40" s="121">
        <f t="shared" si="15"/>
        <v>0.9</v>
      </c>
      <c r="EF40" s="13" t="str">
        <f t="shared" si="12"/>
        <v>-</v>
      </c>
      <c r="EG40" s="13" t="str">
        <f t="shared" si="13"/>
        <v>-</v>
      </c>
      <c r="EH40" s="326">
        <f t="shared" si="14"/>
        <v>0.9</v>
      </c>
      <c r="EI40" s="15">
        <f t="shared" si="16"/>
        <v>27</v>
      </c>
      <c r="EJ40" s="15">
        <f t="shared" si="4"/>
        <v>30</v>
      </c>
    </row>
    <row r="41" spans="122:140" ht="15.75" x14ac:dyDescent="0.25">
      <c r="DR41" s="79" t="s">
        <v>39</v>
      </c>
      <c r="DS41" s="79" t="s">
        <v>33</v>
      </c>
      <c r="DT41" s="71">
        <v>83</v>
      </c>
      <c r="DU41" s="71">
        <v>117</v>
      </c>
      <c r="DV41" s="82">
        <v>0.70940170940170943</v>
      </c>
      <c r="DW41" s="71">
        <v>23</v>
      </c>
      <c r="DX41" s="71">
        <v>39</v>
      </c>
      <c r="DY41" s="82">
        <v>0.58974358974358976</v>
      </c>
      <c r="DZ41" s="59">
        <v>34</v>
      </c>
      <c r="EA41" s="59">
        <v>52</v>
      </c>
      <c r="EB41" s="84">
        <v>0.65384615384615385</v>
      </c>
      <c r="EC41" s="9">
        <v>58</v>
      </c>
      <c r="ED41" s="9">
        <v>107</v>
      </c>
      <c r="EE41" s="121">
        <f t="shared" si="15"/>
        <v>0.54205607476635509</v>
      </c>
      <c r="EF41" s="13">
        <f t="shared" si="12"/>
        <v>5.7943925233644888E-2</v>
      </c>
      <c r="EG41" s="13">
        <f t="shared" si="13"/>
        <v>8.6915887850467326E-3</v>
      </c>
      <c r="EH41" s="324">
        <f t="shared" si="14"/>
        <v>0.55074766355140181</v>
      </c>
      <c r="EI41" s="15">
        <f t="shared" si="16"/>
        <v>58.929999999999993</v>
      </c>
      <c r="EJ41" s="15">
        <f t="shared" si="4"/>
        <v>107</v>
      </c>
    </row>
  </sheetData>
  <mergeCells count="16">
    <mergeCell ref="DS5:EJ5"/>
    <mergeCell ref="DR2:DR3"/>
    <mergeCell ref="DS2:EE3"/>
    <mergeCell ref="EG2:EJ2"/>
    <mergeCell ref="EG3:EJ3"/>
    <mergeCell ref="DS4:EJ4"/>
    <mergeCell ref="EG7:EG8"/>
    <mergeCell ref="EH7:EH8"/>
    <mergeCell ref="EI7:EI8"/>
    <mergeCell ref="EJ7:EJ8"/>
    <mergeCell ref="DR7:DR8"/>
    <mergeCell ref="DT7:DV7"/>
    <mergeCell ref="DW7:DY7"/>
    <mergeCell ref="DZ7:EB7"/>
    <mergeCell ref="EC7:EE7"/>
    <mergeCell ref="EF7:EF8"/>
  </mergeCells>
  <pageMargins left="0.7" right="0.7" top="0.75" bottom="0.75" header="0.3" footer="0.3"/>
  <pageSetup orientation="portrait" verticalDpi="0" r:id="rId1"/>
  <ignoredErrors>
    <ignoredError sqref="EH12:EH29" formula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20C81-F089-4B05-AD70-3AF025BF613A}">
  <sheetPr>
    <tabColor rgb="FFFFFF00"/>
  </sheetPr>
  <dimension ref="B1:AU36"/>
  <sheetViews>
    <sheetView showGridLines="0" zoomScaleNormal="100" workbookViewId="0">
      <selection activeCell="AQ21" sqref="AQ21"/>
    </sheetView>
  </sheetViews>
  <sheetFormatPr baseColWidth="10" defaultRowHeight="15" x14ac:dyDescent="0.25"/>
  <cols>
    <col min="1" max="1" width="9.42578125" customWidth="1"/>
    <col min="2" max="2" width="32.85546875" style="139" customWidth="1"/>
    <col min="3" max="3" width="15" customWidth="1"/>
    <col min="4" max="5" width="8.5703125" hidden="1" customWidth="1"/>
    <col min="6" max="6" width="7.42578125" hidden="1" customWidth="1"/>
    <col min="7" max="12" width="8.5703125" hidden="1" customWidth="1"/>
    <col min="13" max="13" width="9.28515625" hidden="1" customWidth="1"/>
    <col min="14" max="14" width="10.28515625" hidden="1" customWidth="1"/>
    <col min="15" max="15" width="6.7109375" hidden="1" customWidth="1"/>
    <col min="16" max="16" width="9" hidden="1" customWidth="1"/>
    <col min="17" max="17" width="10.85546875" hidden="1" customWidth="1"/>
    <col min="18" max="18" width="7.7109375" hidden="1" customWidth="1"/>
    <col min="19" max="19" width="8.85546875" hidden="1" customWidth="1"/>
    <col min="20" max="20" width="10.42578125" hidden="1" customWidth="1"/>
    <col min="21" max="21" width="6.5703125" hidden="1" customWidth="1"/>
    <col min="22" max="22" width="10.28515625" hidden="1" customWidth="1"/>
    <col min="23" max="23" width="14.28515625" hidden="1" customWidth="1"/>
    <col min="24" max="24" width="7" hidden="1" customWidth="1"/>
    <col min="25" max="25" width="9.7109375" hidden="1" customWidth="1"/>
    <col min="26" max="26" width="10.28515625" hidden="1" customWidth="1"/>
    <col min="27" max="27" width="7.5703125" hidden="1" customWidth="1"/>
    <col min="28" max="28" width="10" hidden="1" customWidth="1"/>
    <col min="29" max="29" width="10.140625" hidden="1" customWidth="1"/>
    <col min="30" max="30" width="7.42578125" hidden="1" customWidth="1"/>
    <col min="31" max="31" width="11.7109375" hidden="1" customWidth="1"/>
    <col min="32" max="32" width="10.42578125" hidden="1" customWidth="1"/>
    <col min="33" max="33" width="7.42578125" hidden="1" customWidth="1"/>
    <col min="34" max="35" width="14.7109375" customWidth="1"/>
    <col min="36" max="36" width="15.7109375" style="134" customWidth="1"/>
    <col min="37" max="37" width="0" hidden="1" customWidth="1"/>
    <col min="38" max="38" width="21.140625" customWidth="1"/>
    <col min="39" max="40" width="11.42578125" hidden="1" customWidth="1"/>
    <col min="41" max="41" width="7.85546875" customWidth="1"/>
  </cols>
  <sheetData>
    <row r="1" spans="2:47" ht="24.75" customHeight="1" x14ac:dyDescent="0.25">
      <c r="B1" s="255">
        <v>2023</v>
      </c>
      <c r="C1" s="255"/>
      <c r="D1" s="759" t="s">
        <v>256</v>
      </c>
      <c r="E1" s="760"/>
      <c r="F1" s="761"/>
      <c r="G1" s="759" t="s">
        <v>256</v>
      </c>
      <c r="H1" s="760"/>
      <c r="I1" s="761"/>
      <c r="J1" s="759" t="s">
        <v>256</v>
      </c>
      <c r="K1" s="760"/>
      <c r="L1" s="761"/>
      <c r="M1" s="759" t="s">
        <v>256</v>
      </c>
      <c r="N1" s="760"/>
      <c r="O1" s="761"/>
      <c r="P1" s="759" t="s">
        <v>256</v>
      </c>
      <c r="Q1" s="760"/>
      <c r="R1" s="761"/>
      <c r="S1" s="759" t="s">
        <v>256</v>
      </c>
      <c r="T1" s="760"/>
      <c r="U1" s="761"/>
      <c r="V1" s="759" t="s">
        <v>256</v>
      </c>
      <c r="W1" s="760"/>
      <c r="X1" s="761"/>
      <c r="Y1" s="759" t="s">
        <v>256</v>
      </c>
      <c r="Z1" s="760"/>
      <c r="AA1" s="761"/>
      <c r="AB1" s="759" t="s">
        <v>256</v>
      </c>
      <c r="AC1" s="760"/>
      <c r="AD1" s="761"/>
      <c r="AE1" s="759" t="s">
        <v>256</v>
      </c>
      <c r="AF1" s="760"/>
      <c r="AG1" s="761"/>
      <c r="AH1" s="758" t="s">
        <v>400</v>
      </c>
      <c r="AI1" s="758"/>
      <c r="AJ1" s="758"/>
      <c r="AK1" s="758"/>
      <c r="AL1" s="758"/>
    </row>
    <row r="2" spans="2:47" x14ac:dyDescent="0.25">
      <c r="B2" s="249" t="s">
        <v>107</v>
      </c>
      <c r="C2" s="157" t="s">
        <v>109</v>
      </c>
      <c r="D2" s="157" t="s">
        <v>1</v>
      </c>
      <c r="E2" s="157" t="s">
        <v>2</v>
      </c>
      <c r="F2" s="157" t="s">
        <v>257</v>
      </c>
      <c r="G2" s="157" t="s">
        <v>1</v>
      </c>
      <c r="H2" s="157" t="s">
        <v>2</v>
      </c>
      <c r="I2" s="157" t="s">
        <v>257</v>
      </c>
      <c r="J2" s="157" t="s">
        <v>1</v>
      </c>
      <c r="K2" s="157" t="s">
        <v>2</v>
      </c>
      <c r="L2" s="157" t="s">
        <v>257</v>
      </c>
      <c r="M2" s="157" t="s">
        <v>1</v>
      </c>
      <c r="N2" s="157" t="s">
        <v>2</v>
      </c>
      <c r="O2" s="157" t="s">
        <v>257</v>
      </c>
      <c r="P2" s="157" t="s">
        <v>1</v>
      </c>
      <c r="Q2" s="157" t="s">
        <v>2</v>
      </c>
      <c r="R2" s="157" t="s">
        <v>257</v>
      </c>
      <c r="S2" s="157" t="s">
        <v>1</v>
      </c>
      <c r="T2" s="157" t="s">
        <v>2</v>
      </c>
      <c r="U2" s="157" t="s">
        <v>257</v>
      </c>
      <c r="V2" s="157" t="s">
        <v>1</v>
      </c>
      <c r="W2" s="157" t="s">
        <v>2</v>
      </c>
      <c r="X2" s="157" t="s">
        <v>257</v>
      </c>
      <c r="Y2" s="157" t="s">
        <v>1</v>
      </c>
      <c r="Z2" s="157" t="s">
        <v>2</v>
      </c>
      <c r="AA2" s="157" t="s">
        <v>257</v>
      </c>
      <c r="AB2" s="157" t="s">
        <v>1</v>
      </c>
      <c r="AC2" s="157" t="s">
        <v>2</v>
      </c>
      <c r="AD2" s="157" t="s">
        <v>257</v>
      </c>
      <c r="AE2" s="157" t="s">
        <v>1</v>
      </c>
      <c r="AF2" s="157" t="s">
        <v>2</v>
      </c>
      <c r="AG2" s="157" t="s">
        <v>257</v>
      </c>
      <c r="AH2" s="157" t="s">
        <v>1</v>
      </c>
      <c r="AI2" s="157" t="s">
        <v>2</v>
      </c>
      <c r="AJ2" s="157" t="s">
        <v>257</v>
      </c>
      <c r="AK2" s="157" t="s">
        <v>45</v>
      </c>
      <c r="AL2" s="464" t="s">
        <v>258</v>
      </c>
    </row>
    <row r="3" spans="2:47" s="123" customFormat="1" ht="12.75" customHeight="1" x14ac:dyDescent="0.2">
      <c r="B3" s="79" t="s">
        <v>6</v>
      </c>
      <c r="C3" s="408">
        <v>0.69099999999999995</v>
      </c>
      <c r="D3" s="409"/>
      <c r="E3" s="409"/>
      <c r="F3" s="410" t="e">
        <f t="shared" ref="F3:F19" si="0">D3*100/E3</f>
        <v>#DIV/0!</v>
      </c>
      <c r="G3" s="411"/>
      <c r="H3" s="411"/>
      <c r="I3" s="410" t="e">
        <f t="shared" ref="I3:I19" si="1">G3*100/H3</f>
        <v>#DIV/0!</v>
      </c>
      <c r="J3" s="409"/>
      <c r="K3" s="409"/>
      <c r="L3" s="410" t="e">
        <f t="shared" ref="L3:L19" si="2">J3*100/K3</f>
        <v>#DIV/0!</v>
      </c>
      <c r="M3" s="409">
        <v>60</v>
      </c>
      <c r="N3" s="409">
        <v>108</v>
      </c>
      <c r="O3" s="412">
        <f t="shared" ref="O3:O19" si="3">M3*100/N3</f>
        <v>55.555555555555557</v>
      </c>
      <c r="P3" s="409">
        <v>75</v>
      </c>
      <c r="Q3" s="409">
        <v>139</v>
      </c>
      <c r="R3" s="412">
        <f t="shared" ref="R3:R19" si="4">P3*100/Q3</f>
        <v>53.956834532374103</v>
      </c>
      <c r="S3" s="409"/>
      <c r="T3" s="409"/>
      <c r="U3" s="412" t="e">
        <f t="shared" ref="U3:U19" si="5">S3*100/T3</f>
        <v>#DIV/0!</v>
      </c>
      <c r="V3" s="409">
        <v>105</v>
      </c>
      <c r="W3" s="409">
        <v>178</v>
      </c>
      <c r="X3" s="413">
        <f t="shared" ref="X3:X19" si="6">V3*100/W3</f>
        <v>58.988764044943821</v>
      </c>
      <c r="Y3" s="409">
        <v>114</v>
      </c>
      <c r="Z3" s="409">
        <v>197</v>
      </c>
      <c r="AA3" s="413">
        <f t="shared" ref="AA3:AA19" si="7">Y3*100/Z3</f>
        <v>57.868020304568525</v>
      </c>
      <c r="AB3" s="414" t="s">
        <v>259</v>
      </c>
      <c r="AC3" s="415"/>
      <c r="AD3" s="413" t="e">
        <f t="shared" ref="AD3:AD19" si="8">AB3*100/AC3</f>
        <v>#VALUE!</v>
      </c>
      <c r="AE3" s="409"/>
      <c r="AF3" s="409"/>
      <c r="AG3" s="413" t="e">
        <f t="shared" ref="AG3:AG19" si="9">AE3*100/AF3</f>
        <v>#DIV/0!</v>
      </c>
      <c r="AH3" s="409">
        <v>165</v>
      </c>
      <c r="AI3" s="409">
        <v>278</v>
      </c>
      <c r="AJ3" s="410">
        <f t="shared" ref="AJ3:AJ19" si="10">AH3*100/AI3</f>
        <v>59.352517985611513</v>
      </c>
      <c r="AK3" s="250">
        <v>0.69099999999999995</v>
      </c>
      <c r="AL3" s="395">
        <v>60</v>
      </c>
      <c r="AM3" s="323">
        <f>+AJ3+(AJ3*0.015)</f>
        <v>60.242805755395686</v>
      </c>
      <c r="AN3" s="323">
        <f>+AL3*100/AJ3</f>
        <v>101.09090909090909</v>
      </c>
    </row>
    <row r="4" spans="2:47" s="123" customFormat="1" ht="12.75" customHeight="1" x14ac:dyDescent="0.2">
      <c r="B4" s="79" t="s">
        <v>8</v>
      </c>
      <c r="C4" s="408">
        <v>0.67500000000000004</v>
      </c>
      <c r="D4" s="409"/>
      <c r="E4" s="409"/>
      <c r="F4" s="410" t="e">
        <f t="shared" si="0"/>
        <v>#DIV/0!</v>
      </c>
      <c r="G4" s="411"/>
      <c r="H4" s="411"/>
      <c r="I4" s="410" t="e">
        <f t="shared" si="1"/>
        <v>#DIV/0!</v>
      </c>
      <c r="J4" s="409"/>
      <c r="K4" s="409"/>
      <c r="L4" s="410" t="e">
        <f t="shared" si="2"/>
        <v>#DIV/0!</v>
      </c>
      <c r="M4" s="409">
        <v>26</v>
      </c>
      <c r="N4" s="409">
        <v>34</v>
      </c>
      <c r="O4" s="412">
        <f t="shared" si="3"/>
        <v>76.470588235294116</v>
      </c>
      <c r="P4" s="409">
        <v>33</v>
      </c>
      <c r="Q4" s="409">
        <v>47</v>
      </c>
      <c r="R4" s="412">
        <f t="shared" si="4"/>
        <v>70.212765957446805</v>
      </c>
      <c r="S4" s="409"/>
      <c r="T4" s="409"/>
      <c r="U4" s="412" t="e">
        <f t="shared" si="5"/>
        <v>#DIV/0!</v>
      </c>
      <c r="V4" s="409">
        <v>39</v>
      </c>
      <c r="W4" s="409">
        <v>62</v>
      </c>
      <c r="X4" s="413">
        <f t="shared" si="6"/>
        <v>62.903225806451616</v>
      </c>
      <c r="Y4" s="409">
        <v>51</v>
      </c>
      <c r="Z4" s="409">
        <v>80</v>
      </c>
      <c r="AA4" s="413">
        <f t="shared" si="7"/>
        <v>63.75</v>
      </c>
      <c r="AB4" s="409" t="s">
        <v>259</v>
      </c>
      <c r="AC4" s="416"/>
      <c r="AD4" s="413" t="e">
        <f t="shared" si="8"/>
        <v>#VALUE!</v>
      </c>
      <c r="AE4" s="409"/>
      <c r="AF4" s="409"/>
      <c r="AG4" s="413" t="e">
        <f t="shared" si="9"/>
        <v>#DIV/0!</v>
      </c>
      <c r="AH4" s="409">
        <v>88</v>
      </c>
      <c r="AI4" s="409">
        <v>127</v>
      </c>
      <c r="AJ4" s="410">
        <f t="shared" si="10"/>
        <v>69.29133858267717</v>
      </c>
      <c r="AK4" s="250">
        <v>0.67500000000000004</v>
      </c>
      <c r="AL4" s="395">
        <v>69.29133858267717</v>
      </c>
    </row>
    <row r="5" spans="2:47" s="123" customFormat="1" ht="12.75" customHeight="1" x14ac:dyDescent="0.2">
      <c r="B5" s="79" t="s">
        <v>9</v>
      </c>
      <c r="C5" s="408">
        <v>0.71799999999999997</v>
      </c>
      <c r="D5" s="409"/>
      <c r="E5" s="409"/>
      <c r="F5" s="410" t="e">
        <f t="shared" si="0"/>
        <v>#DIV/0!</v>
      </c>
      <c r="G5" s="411"/>
      <c r="H5" s="411"/>
      <c r="I5" s="410" t="e">
        <f t="shared" si="1"/>
        <v>#DIV/0!</v>
      </c>
      <c r="J5" s="409"/>
      <c r="K5" s="409"/>
      <c r="L5" s="410" t="e">
        <f t="shared" si="2"/>
        <v>#DIV/0!</v>
      </c>
      <c r="M5" s="409">
        <v>32</v>
      </c>
      <c r="N5" s="409">
        <v>48</v>
      </c>
      <c r="O5" s="412">
        <f t="shared" si="3"/>
        <v>66.666666666666671</v>
      </c>
      <c r="P5" s="409">
        <v>44</v>
      </c>
      <c r="Q5" s="409">
        <v>69</v>
      </c>
      <c r="R5" s="412">
        <f t="shared" si="4"/>
        <v>63.768115942028984</v>
      </c>
      <c r="S5" s="409"/>
      <c r="T5" s="409"/>
      <c r="U5" s="412" t="e">
        <f t="shared" si="5"/>
        <v>#DIV/0!</v>
      </c>
      <c r="V5" s="409">
        <v>59</v>
      </c>
      <c r="W5" s="409">
        <v>99</v>
      </c>
      <c r="X5" s="413">
        <f t="shared" si="6"/>
        <v>59.595959595959599</v>
      </c>
      <c r="Y5" s="409">
        <v>68</v>
      </c>
      <c r="Z5" s="409">
        <v>110</v>
      </c>
      <c r="AA5" s="413">
        <f t="shared" si="7"/>
        <v>61.81818181818182</v>
      </c>
      <c r="AB5" s="409" t="s">
        <v>259</v>
      </c>
      <c r="AC5" s="409"/>
      <c r="AD5" s="413" t="e">
        <f t="shared" si="8"/>
        <v>#VALUE!</v>
      </c>
      <c r="AE5" s="409"/>
      <c r="AF5" s="409"/>
      <c r="AG5" s="413" t="e">
        <f t="shared" si="9"/>
        <v>#DIV/0!</v>
      </c>
      <c r="AH5" s="409">
        <v>93</v>
      </c>
      <c r="AI5" s="409">
        <v>153</v>
      </c>
      <c r="AJ5" s="410">
        <f t="shared" si="10"/>
        <v>60.784313725490193</v>
      </c>
      <c r="AK5" s="250">
        <v>0.71799999999999997</v>
      </c>
      <c r="AL5" s="395">
        <v>60.784313725490193</v>
      </c>
    </row>
    <row r="6" spans="2:47" s="123" customFormat="1" ht="12.75" customHeight="1" x14ac:dyDescent="0.2">
      <c r="B6" s="79" t="s">
        <v>10</v>
      </c>
      <c r="C6" s="408">
        <v>0.6</v>
      </c>
      <c r="D6" s="409"/>
      <c r="E6" s="409"/>
      <c r="F6" s="410" t="e">
        <f t="shared" si="0"/>
        <v>#DIV/0!</v>
      </c>
      <c r="G6" s="411"/>
      <c r="H6" s="411"/>
      <c r="I6" s="410" t="e">
        <f t="shared" si="1"/>
        <v>#DIV/0!</v>
      </c>
      <c r="J6" s="409"/>
      <c r="K6" s="409"/>
      <c r="L6" s="410" t="e">
        <f t="shared" si="2"/>
        <v>#DIV/0!</v>
      </c>
      <c r="M6" s="409">
        <v>10</v>
      </c>
      <c r="N6" s="409">
        <v>12</v>
      </c>
      <c r="O6" s="412">
        <f t="shared" si="3"/>
        <v>83.333333333333329</v>
      </c>
      <c r="P6" s="409">
        <v>10</v>
      </c>
      <c r="Q6" s="409">
        <v>12</v>
      </c>
      <c r="R6" s="412">
        <f t="shared" si="4"/>
        <v>83.333333333333329</v>
      </c>
      <c r="S6" s="409"/>
      <c r="T6" s="409"/>
      <c r="U6" s="412" t="e">
        <f t="shared" si="5"/>
        <v>#DIV/0!</v>
      </c>
      <c r="V6" s="409">
        <v>18</v>
      </c>
      <c r="W6" s="409">
        <v>20</v>
      </c>
      <c r="X6" s="413">
        <f t="shared" si="6"/>
        <v>90</v>
      </c>
      <c r="Y6" s="409">
        <v>19</v>
      </c>
      <c r="Z6" s="409">
        <v>21</v>
      </c>
      <c r="AA6" s="413">
        <f t="shared" si="7"/>
        <v>90.476190476190482</v>
      </c>
      <c r="AB6" s="409" t="s">
        <v>259</v>
      </c>
      <c r="AC6" s="409"/>
      <c r="AD6" s="413" t="e">
        <f t="shared" si="8"/>
        <v>#VALUE!</v>
      </c>
      <c r="AE6" s="409"/>
      <c r="AF6" s="409"/>
      <c r="AG6" s="413" t="e">
        <f t="shared" si="9"/>
        <v>#DIV/0!</v>
      </c>
      <c r="AH6" s="415">
        <v>22</v>
      </c>
      <c r="AI6" s="409">
        <v>24</v>
      </c>
      <c r="AJ6" s="410">
        <f t="shared" si="10"/>
        <v>91.666666666666671</v>
      </c>
      <c r="AK6" s="250">
        <v>0.6</v>
      </c>
      <c r="AL6" s="395">
        <v>70</v>
      </c>
    </row>
    <row r="7" spans="2:47" s="123" customFormat="1" ht="12.75" customHeight="1" x14ac:dyDescent="0.2">
      <c r="B7" s="79" t="s">
        <v>11</v>
      </c>
      <c r="C7" s="408">
        <v>0.64</v>
      </c>
      <c r="D7" s="409"/>
      <c r="E7" s="409"/>
      <c r="F7" s="410" t="e">
        <f t="shared" si="0"/>
        <v>#DIV/0!</v>
      </c>
      <c r="G7" s="411"/>
      <c r="H7" s="411"/>
      <c r="I7" s="410" t="e">
        <f t="shared" si="1"/>
        <v>#DIV/0!</v>
      </c>
      <c r="J7" s="409"/>
      <c r="K7" s="409"/>
      <c r="L7" s="410" t="e">
        <f t="shared" si="2"/>
        <v>#DIV/0!</v>
      </c>
      <c r="M7" s="409">
        <v>42</v>
      </c>
      <c r="N7" s="409">
        <v>70</v>
      </c>
      <c r="O7" s="412">
        <f t="shared" si="3"/>
        <v>60</v>
      </c>
      <c r="P7" s="409">
        <v>46</v>
      </c>
      <c r="Q7" s="409">
        <v>80</v>
      </c>
      <c r="R7" s="412">
        <f t="shared" si="4"/>
        <v>57.5</v>
      </c>
      <c r="S7" s="409"/>
      <c r="T7" s="409"/>
      <c r="U7" s="412" t="e">
        <f t="shared" si="5"/>
        <v>#DIV/0!</v>
      </c>
      <c r="V7" s="409">
        <v>58</v>
      </c>
      <c r="W7" s="409">
        <v>107</v>
      </c>
      <c r="X7" s="413">
        <f t="shared" si="6"/>
        <v>54.205607476635514</v>
      </c>
      <c r="Y7" s="409">
        <v>67</v>
      </c>
      <c r="Z7" s="409">
        <v>123</v>
      </c>
      <c r="AA7" s="413">
        <f t="shared" si="7"/>
        <v>54.471544715447152</v>
      </c>
      <c r="AB7" s="409" t="s">
        <v>259</v>
      </c>
      <c r="AC7" s="409"/>
      <c r="AD7" s="413" t="e">
        <f t="shared" si="8"/>
        <v>#VALUE!</v>
      </c>
      <c r="AE7" s="409"/>
      <c r="AF7" s="409"/>
      <c r="AG7" s="413" t="e">
        <f t="shared" si="9"/>
        <v>#DIV/0!</v>
      </c>
      <c r="AH7" s="409">
        <v>95</v>
      </c>
      <c r="AI7" s="409">
        <v>158</v>
      </c>
      <c r="AJ7" s="410">
        <f t="shared" si="10"/>
        <v>60.12658227848101</v>
      </c>
      <c r="AK7" s="250">
        <v>0.64</v>
      </c>
      <c r="AL7" s="395">
        <v>60.12658227848101</v>
      </c>
    </row>
    <row r="8" spans="2:47" s="123" customFormat="1" ht="12.75" customHeight="1" x14ac:dyDescent="0.2">
      <c r="B8" s="79" t="s">
        <v>12</v>
      </c>
      <c r="C8" s="408">
        <v>0.72899999999999998</v>
      </c>
      <c r="D8" s="409"/>
      <c r="E8" s="409"/>
      <c r="F8" s="410" t="e">
        <f t="shared" si="0"/>
        <v>#DIV/0!</v>
      </c>
      <c r="G8" s="411"/>
      <c r="H8" s="411"/>
      <c r="I8" s="410" t="e">
        <f t="shared" si="1"/>
        <v>#DIV/0!</v>
      </c>
      <c r="J8" s="409"/>
      <c r="K8" s="409"/>
      <c r="L8" s="410" t="e">
        <f t="shared" si="2"/>
        <v>#DIV/0!</v>
      </c>
      <c r="M8" s="409">
        <v>38</v>
      </c>
      <c r="N8" s="409">
        <v>71</v>
      </c>
      <c r="O8" s="412">
        <f t="shared" si="3"/>
        <v>53.521126760563384</v>
      </c>
      <c r="P8" s="409">
        <v>45</v>
      </c>
      <c r="Q8" s="409">
        <v>82</v>
      </c>
      <c r="R8" s="412">
        <f t="shared" si="4"/>
        <v>54.878048780487802</v>
      </c>
      <c r="S8" s="409"/>
      <c r="T8" s="409"/>
      <c r="U8" s="412" t="e">
        <f t="shared" si="5"/>
        <v>#DIV/0!</v>
      </c>
      <c r="V8" s="409">
        <v>58</v>
      </c>
      <c r="W8" s="409">
        <v>105</v>
      </c>
      <c r="X8" s="413">
        <f t="shared" si="6"/>
        <v>55.238095238095241</v>
      </c>
      <c r="Y8" s="409">
        <v>65</v>
      </c>
      <c r="Z8" s="409">
        <v>114</v>
      </c>
      <c r="AA8" s="413">
        <f t="shared" si="7"/>
        <v>57.017543859649123</v>
      </c>
      <c r="AB8" s="409" t="s">
        <v>259</v>
      </c>
      <c r="AC8" s="409"/>
      <c r="AD8" s="413" t="e">
        <f t="shared" si="8"/>
        <v>#VALUE!</v>
      </c>
      <c r="AE8" s="409"/>
      <c r="AF8" s="409"/>
      <c r="AG8" s="413" t="e">
        <f t="shared" si="9"/>
        <v>#DIV/0!</v>
      </c>
      <c r="AH8" s="409">
        <v>87</v>
      </c>
      <c r="AI8" s="409">
        <v>147</v>
      </c>
      <c r="AJ8" s="410">
        <f t="shared" si="10"/>
        <v>59.183673469387756</v>
      </c>
      <c r="AK8" s="250">
        <v>0.72899999999999998</v>
      </c>
      <c r="AL8" s="395">
        <v>60</v>
      </c>
      <c r="AM8" s="323">
        <f>+AJ8+(AJ8*0.015)</f>
        <v>60.071428571428569</v>
      </c>
      <c r="AN8" s="323">
        <f>+AL8*100/AJ8</f>
        <v>101.37931034482759</v>
      </c>
    </row>
    <row r="9" spans="2:47" s="123" customFormat="1" ht="12.75" customHeight="1" x14ac:dyDescent="0.2">
      <c r="B9" s="79" t="s">
        <v>13</v>
      </c>
      <c r="C9" s="408">
        <v>0.70399999999999996</v>
      </c>
      <c r="D9" s="409"/>
      <c r="E9" s="409"/>
      <c r="F9" s="410" t="e">
        <f t="shared" si="0"/>
        <v>#DIV/0!</v>
      </c>
      <c r="G9" s="411"/>
      <c r="H9" s="411"/>
      <c r="I9" s="410" t="e">
        <f t="shared" si="1"/>
        <v>#DIV/0!</v>
      </c>
      <c r="J9" s="409"/>
      <c r="K9" s="409"/>
      <c r="L9" s="410" t="e">
        <f t="shared" si="2"/>
        <v>#DIV/0!</v>
      </c>
      <c r="M9" s="409">
        <v>46</v>
      </c>
      <c r="N9" s="409">
        <v>65</v>
      </c>
      <c r="O9" s="412">
        <f t="shared" si="3"/>
        <v>70.769230769230774</v>
      </c>
      <c r="P9" s="409">
        <v>50</v>
      </c>
      <c r="Q9" s="409">
        <v>73</v>
      </c>
      <c r="R9" s="412">
        <f t="shared" si="4"/>
        <v>68.493150684931507</v>
      </c>
      <c r="S9" s="409"/>
      <c r="T9" s="409"/>
      <c r="U9" s="412" t="e">
        <f t="shared" si="5"/>
        <v>#DIV/0!</v>
      </c>
      <c r="V9" s="409">
        <v>75</v>
      </c>
      <c r="W9" s="409">
        <v>106</v>
      </c>
      <c r="X9" s="413">
        <f t="shared" si="6"/>
        <v>70.754716981132077</v>
      </c>
      <c r="Y9" s="409">
        <v>81</v>
      </c>
      <c r="Z9" s="409">
        <v>118</v>
      </c>
      <c r="AA9" s="413">
        <f t="shared" si="7"/>
        <v>68.644067796610173</v>
      </c>
      <c r="AB9" s="409" t="s">
        <v>259</v>
      </c>
      <c r="AC9" s="409"/>
      <c r="AD9" s="413" t="e">
        <f t="shared" si="8"/>
        <v>#VALUE!</v>
      </c>
      <c r="AE9" s="409"/>
      <c r="AF9" s="409"/>
      <c r="AG9" s="413" t="e">
        <f t="shared" si="9"/>
        <v>#DIV/0!</v>
      </c>
      <c r="AH9" s="409">
        <v>103</v>
      </c>
      <c r="AI9" s="409">
        <v>154</v>
      </c>
      <c r="AJ9" s="410">
        <f t="shared" si="10"/>
        <v>66.883116883116884</v>
      </c>
      <c r="AK9" s="250">
        <v>0.70399999999999996</v>
      </c>
      <c r="AL9" s="395">
        <v>66.883116883116884</v>
      </c>
    </row>
    <row r="10" spans="2:47" s="123" customFormat="1" ht="12.75" customHeight="1" x14ac:dyDescent="0.2">
      <c r="B10" s="79" t="s">
        <v>14</v>
      </c>
      <c r="C10" s="408">
        <v>0.503</v>
      </c>
      <c r="D10" s="409"/>
      <c r="E10" s="409"/>
      <c r="F10" s="410" t="e">
        <f t="shared" si="0"/>
        <v>#DIV/0!</v>
      </c>
      <c r="G10" s="411"/>
      <c r="H10" s="411"/>
      <c r="I10" s="410" t="e">
        <f t="shared" si="1"/>
        <v>#DIV/0!</v>
      </c>
      <c r="J10" s="409"/>
      <c r="K10" s="409"/>
      <c r="L10" s="410" t="e">
        <f t="shared" si="2"/>
        <v>#DIV/0!</v>
      </c>
      <c r="M10" s="409">
        <v>26</v>
      </c>
      <c r="N10" s="409">
        <v>44</v>
      </c>
      <c r="O10" s="412">
        <f t="shared" si="3"/>
        <v>59.090909090909093</v>
      </c>
      <c r="P10" s="409">
        <v>35</v>
      </c>
      <c r="Q10" s="409">
        <v>57</v>
      </c>
      <c r="R10" s="412">
        <f t="shared" si="4"/>
        <v>61.403508771929822</v>
      </c>
      <c r="S10" s="409"/>
      <c r="T10" s="409"/>
      <c r="U10" s="412" t="e">
        <f t="shared" si="5"/>
        <v>#DIV/0!</v>
      </c>
      <c r="V10" s="409">
        <v>51</v>
      </c>
      <c r="W10" s="409">
        <v>80</v>
      </c>
      <c r="X10" s="413">
        <f t="shared" si="6"/>
        <v>63.75</v>
      </c>
      <c r="Y10" s="409">
        <v>55</v>
      </c>
      <c r="Z10" s="409">
        <v>89</v>
      </c>
      <c r="AA10" s="413">
        <f t="shared" si="7"/>
        <v>61.797752808988761</v>
      </c>
      <c r="AB10" s="409" t="s">
        <v>259</v>
      </c>
      <c r="AC10" s="409"/>
      <c r="AD10" s="413" t="e">
        <f t="shared" si="8"/>
        <v>#VALUE!</v>
      </c>
      <c r="AE10" s="409"/>
      <c r="AF10" s="409"/>
      <c r="AG10" s="413" t="e">
        <f t="shared" si="9"/>
        <v>#DIV/0!</v>
      </c>
      <c r="AH10" s="409">
        <v>63</v>
      </c>
      <c r="AI10" s="409">
        <v>114</v>
      </c>
      <c r="AJ10" s="410">
        <f t="shared" si="10"/>
        <v>55.263157894736842</v>
      </c>
      <c r="AK10" s="250">
        <v>0.503</v>
      </c>
      <c r="AL10" s="395">
        <v>56.3</v>
      </c>
      <c r="AM10" s="323">
        <f>+AJ10+(AJ10*0.015)</f>
        <v>56.092105263157897</v>
      </c>
      <c r="AN10" s="323">
        <f>+AL10*100/AJ10</f>
        <v>101.87619047619047</v>
      </c>
      <c r="AP10" s="757"/>
      <c r="AQ10" s="757"/>
      <c r="AR10" s="757"/>
      <c r="AS10" s="757"/>
      <c r="AT10" s="757"/>
      <c r="AU10" s="757"/>
    </row>
    <row r="11" spans="2:47" s="123" customFormat="1" ht="12.75" customHeight="1" x14ac:dyDescent="0.2">
      <c r="B11" s="79" t="s">
        <v>15</v>
      </c>
      <c r="C11" s="408">
        <v>0.6</v>
      </c>
      <c r="D11" s="409"/>
      <c r="E11" s="409"/>
      <c r="F11" s="410" t="e">
        <f t="shared" si="0"/>
        <v>#DIV/0!</v>
      </c>
      <c r="G11" s="411"/>
      <c r="H11" s="411"/>
      <c r="I11" s="410" t="e">
        <f t="shared" si="1"/>
        <v>#DIV/0!</v>
      </c>
      <c r="J11" s="409"/>
      <c r="K11" s="409"/>
      <c r="L11" s="410" t="e">
        <f t="shared" si="2"/>
        <v>#DIV/0!</v>
      </c>
      <c r="M11" s="409">
        <v>7</v>
      </c>
      <c r="N11" s="409">
        <v>7</v>
      </c>
      <c r="O11" s="412">
        <f t="shared" si="3"/>
        <v>100</v>
      </c>
      <c r="P11" s="409">
        <v>7</v>
      </c>
      <c r="Q11" s="409">
        <v>7</v>
      </c>
      <c r="R11" s="412">
        <f t="shared" si="4"/>
        <v>100</v>
      </c>
      <c r="S11" s="409"/>
      <c r="T11" s="409"/>
      <c r="U11" s="412" t="e">
        <f t="shared" si="5"/>
        <v>#DIV/0!</v>
      </c>
      <c r="V11" s="409">
        <v>7</v>
      </c>
      <c r="W11" s="409">
        <v>8</v>
      </c>
      <c r="X11" s="413">
        <f t="shared" si="6"/>
        <v>87.5</v>
      </c>
      <c r="Y11" s="409">
        <v>7</v>
      </c>
      <c r="Z11" s="409">
        <v>8</v>
      </c>
      <c r="AA11" s="413">
        <f t="shared" si="7"/>
        <v>87.5</v>
      </c>
      <c r="AB11" s="409" t="s">
        <v>259</v>
      </c>
      <c r="AC11" s="409"/>
      <c r="AD11" s="413" t="e">
        <f t="shared" si="8"/>
        <v>#VALUE!</v>
      </c>
      <c r="AE11" s="409"/>
      <c r="AF11" s="409"/>
      <c r="AG11" s="413" t="e">
        <f t="shared" si="9"/>
        <v>#DIV/0!</v>
      </c>
      <c r="AH11" s="409">
        <v>7</v>
      </c>
      <c r="AI11" s="409">
        <v>9</v>
      </c>
      <c r="AJ11" s="410">
        <f t="shared" si="10"/>
        <v>77.777777777777771</v>
      </c>
      <c r="AK11" s="250">
        <v>0.6</v>
      </c>
      <c r="AL11" s="395">
        <v>70</v>
      </c>
      <c r="AP11" s="757"/>
      <c r="AQ11" s="757"/>
      <c r="AR11" s="757"/>
      <c r="AS11" s="757"/>
      <c r="AT11" s="757"/>
      <c r="AU11" s="757"/>
    </row>
    <row r="12" spans="2:47" s="123" customFormat="1" ht="12.75" customHeight="1" x14ac:dyDescent="0.2">
      <c r="B12" s="79" t="s">
        <v>16</v>
      </c>
      <c r="C12" s="408">
        <v>0.88600000000000001</v>
      </c>
      <c r="D12" s="409"/>
      <c r="E12" s="409"/>
      <c r="F12" s="410" t="e">
        <f t="shared" si="0"/>
        <v>#DIV/0!</v>
      </c>
      <c r="G12" s="411"/>
      <c r="H12" s="411"/>
      <c r="I12" s="410" t="e">
        <f t="shared" si="1"/>
        <v>#DIV/0!</v>
      </c>
      <c r="J12" s="409"/>
      <c r="K12" s="409"/>
      <c r="L12" s="410" t="e">
        <f t="shared" si="2"/>
        <v>#DIV/0!</v>
      </c>
      <c r="M12" s="409">
        <v>11</v>
      </c>
      <c r="N12" s="409">
        <v>12</v>
      </c>
      <c r="O12" s="412">
        <f t="shared" si="3"/>
        <v>91.666666666666671</v>
      </c>
      <c r="P12" s="409">
        <v>14</v>
      </c>
      <c r="Q12" s="409">
        <v>15</v>
      </c>
      <c r="R12" s="412">
        <f t="shared" si="4"/>
        <v>93.333333333333329</v>
      </c>
      <c r="S12" s="409"/>
      <c r="T12" s="409"/>
      <c r="U12" s="412" t="e">
        <f t="shared" si="5"/>
        <v>#DIV/0!</v>
      </c>
      <c r="V12" s="409">
        <v>24</v>
      </c>
      <c r="W12" s="409">
        <v>27</v>
      </c>
      <c r="X12" s="413">
        <f t="shared" si="6"/>
        <v>88.888888888888886</v>
      </c>
      <c r="Y12" s="409">
        <v>26</v>
      </c>
      <c r="Z12" s="409">
        <v>31</v>
      </c>
      <c r="AA12" s="413">
        <f t="shared" si="7"/>
        <v>83.870967741935488</v>
      </c>
      <c r="AB12" s="409" t="s">
        <v>259</v>
      </c>
      <c r="AC12" s="409"/>
      <c r="AD12" s="413" t="e">
        <f t="shared" si="8"/>
        <v>#VALUE!</v>
      </c>
      <c r="AE12" s="409"/>
      <c r="AF12" s="409"/>
      <c r="AG12" s="413" t="e">
        <f t="shared" si="9"/>
        <v>#DIV/0!</v>
      </c>
      <c r="AH12" s="409">
        <v>34</v>
      </c>
      <c r="AI12" s="409">
        <v>42</v>
      </c>
      <c r="AJ12" s="410">
        <f t="shared" si="10"/>
        <v>80.952380952380949</v>
      </c>
      <c r="AK12" s="250">
        <v>0.88600000000000001</v>
      </c>
      <c r="AL12" s="395">
        <v>70</v>
      </c>
      <c r="AP12" s="757"/>
      <c r="AQ12" s="757"/>
      <c r="AR12" s="757"/>
      <c r="AS12" s="757"/>
      <c r="AT12" s="757"/>
      <c r="AU12" s="757"/>
    </row>
    <row r="13" spans="2:47" s="123" customFormat="1" ht="12.75" customHeight="1" x14ac:dyDescent="0.2">
      <c r="B13" s="79" t="s">
        <v>17</v>
      </c>
      <c r="C13" s="408">
        <v>0.78</v>
      </c>
      <c r="D13" s="409"/>
      <c r="E13" s="409"/>
      <c r="F13" s="410" t="e">
        <f t="shared" si="0"/>
        <v>#DIV/0!</v>
      </c>
      <c r="G13" s="411"/>
      <c r="H13" s="411"/>
      <c r="I13" s="410" t="e">
        <f t="shared" si="1"/>
        <v>#DIV/0!</v>
      </c>
      <c r="J13" s="409"/>
      <c r="K13" s="409"/>
      <c r="L13" s="410" t="e">
        <f t="shared" si="2"/>
        <v>#DIV/0!</v>
      </c>
      <c r="M13" s="409">
        <v>11</v>
      </c>
      <c r="N13" s="409">
        <v>40</v>
      </c>
      <c r="O13" s="412">
        <f t="shared" si="3"/>
        <v>27.5</v>
      </c>
      <c r="P13" s="409">
        <v>21</v>
      </c>
      <c r="Q13" s="409">
        <v>54</v>
      </c>
      <c r="R13" s="412">
        <f t="shared" si="4"/>
        <v>38.888888888888886</v>
      </c>
      <c r="S13" s="409"/>
      <c r="T13" s="409"/>
      <c r="U13" s="412" t="e">
        <f t="shared" si="5"/>
        <v>#DIV/0!</v>
      </c>
      <c r="V13" s="409">
        <v>30</v>
      </c>
      <c r="W13" s="409">
        <v>69</v>
      </c>
      <c r="X13" s="413">
        <f t="shared" si="6"/>
        <v>43.478260869565219</v>
      </c>
      <c r="Y13" s="409">
        <v>35</v>
      </c>
      <c r="Z13" s="409">
        <v>78</v>
      </c>
      <c r="AA13" s="413">
        <f t="shared" si="7"/>
        <v>44.871794871794869</v>
      </c>
      <c r="AB13" s="409" t="s">
        <v>259</v>
      </c>
      <c r="AC13" s="409"/>
      <c r="AD13" s="413" t="e">
        <f t="shared" si="8"/>
        <v>#VALUE!</v>
      </c>
      <c r="AE13" s="409"/>
      <c r="AF13" s="409"/>
      <c r="AG13" s="413" t="e">
        <f t="shared" si="9"/>
        <v>#DIV/0!</v>
      </c>
      <c r="AH13" s="409">
        <v>53</v>
      </c>
      <c r="AI13" s="409">
        <v>112</v>
      </c>
      <c r="AJ13" s="410">
        <f t="shared" si="10"/>
        <v>47.321428571428569</v>
      </c>
      <c r="AK13" s="250">
        <v>0.78</v>
      </c>
      <c r="AL13" s="395">
        <v>49.3</v>
      </c>
      <c r="AM13" s="323">
        <f t="shared" ref="AM13:AM14" si="11">+AJ13+(AJ13*0.015)</f>
        <v>48.03125</v>
      </c>
      <c r="AN13" s="323">
        <f>+AL13*100/AJ13</f>
        <v>104.18113207547171</v>
      </c>
      <c r="AP13" s="757"/>
      <c r="AQ13" s="757"/>
      <c r="AR13" s="757"/>
      <c r="AS13" s="757"/>
      <c r="AT13" s="757"/>
      <c r="AU13" s="757"/>
    </row>
    <row r="14" spans="2:47" s="123" customFormat="1" ht="12.75" customHeight="1" x14ac:dyDescent="0.2">
      <c r="B14" s="79" t="s">
        <v>18</v>
      </c>
      <c r="C14" s="408">
        <v>0.61799999999999999</v>
      </c>
      <c r="D14" s="409"/>
      <c r="E14" s="409"/>
      <c r="F14" s="410" t="e">
        <f t="shared" si="0"/>
        <v>#DIV/0!</v>
      </c>
      <c r="G14" s="411"/>
      <c r="H14" s="411"/>
      <c r="I14" s="410" t="e">
        <f t="shared" si="1"/>
        <v>#DIV/0!</v>
      </c>
      <c r="J14" s="409"/>
      <c r="K14" s="409"/>
      <c r="L14" s="410" t="e">
        <f t="shared" si="2"/>
        <v>#DIV/0!</v>
      </c>
      <c r="M14" s="409">
        <v>15</v>
      </c>
      <c r="N14" s="409">
        <v>30</v>
      </c>
      <c r="O14" s="412">
        <f t="shared" si="3"/>
        <v>50</v>
      </c>
      <c r="P14" s="409">
        <v>28</v>
      </c>
      <c r="Q14" s="409">
        <v>50</v>
      </c>
      <c r="R14" s="412">
        <f t="shared" si="4"/>
        <v>56</v>
      </c>
      <c r="S14" s="409"/>
      <c r="T14" s="409"/>
      <c r="U14" s="412" t="e">
        <f t="shared" si="5"/>
        <v>#DIV/0!</v>
      </c>
      <c r="V14" s="409">
        <v>40</v>
      </c>
      <c r="W14" s="409">
        <v>75</v>
      </c>
      <c r="X14" s="413">
        <f t="shared" si="6"/>
        <v>53.333333333333336</v>
      </c>
      <c r="Y14" s="409">
        <v>41</v>
      </c>
      <c r="Z14" s="409">
        <v>85</v>
      </c>
      <c r="AA14" s="413">
        <f t="shared" si="7"/>
        <v>48.235294117647058</v>
      </c>
      <c r="AB14" s="409" t="s">
        <v>259</v>
      </c>
      <c r="AC14" s="409"/>
      <c r="AD14" s="413" t="e">
        <f t="shared" si="8"/>
        <v>#VALUE!</v>
      </c>
      <c r="AE14" s="409"/>
      <c r="AF14" s="409"/>
      <c r="AG14" s="413" t="e">
        <f t="shared" si="9"/>
        <v>#DIV/0!</v>
      </c>
      <c r="AH14" s="409">
        <v>54</v>
      </c>
      <c r="AI14" s="409">
        <v>114</v>
      </c>
      <c r="AJ14" s="410">
        <f t="shared" si="10"/>
        <v>47.368421052631582</v>
      </c>
      <c r="AK14" s="250">
        <v>0.61799999999999999</v>
      </c>
      <c r="AL14" s="395">
        <v>49.4</v>
      </c>
      <c r="AM14" s="323">
        <f t="shared" si="11"/>
        <v>48.078947368421055</v>
      </c>
      <c r="AN14" s="323">
        <f>+AL14*100/AJ14</f>
        <v>104.28888888888888</v>
      </c>
      <c r="AP14" s="757"/>
      <c r="AQ14" s="757"/>
      <c r="AR14" s="757"/>
      <c r="AS14" s="757"/>
      <c r="AT14" s="757"/>
      <c r="AU14" s="757"/>
    </row>
    <row r="15" spans="2:47" s="123" customFormat="1" ht="12.75" customHeight="1" x14ac:dyDescent="0.2">
      <c r="B15" s="79" t="s">
        <v>19</v>
      </c>
      <c r="C15" s="408">
        <v>0.76</v>
      </c>
      <c r="D15" s="409"/>
      <c r="E15" s="409"/>
      <c r="F15" s="410" t="e">
        <f t="shared" si="0"/>
        <v>#DIV/0!</v>
      </c>
      <c r="G15" s="411"/>
      <c r="H15" s="411"/>
      <c r="I15" s="410" t="e">
        <f t="shared" si="1"/>
        <v>#DIV/0!</v>
      </c>
      <c r="J15" s="409"/>
      <c r="K15" s="409"/>
      <c r="L15" s="410" t="e">
        <f t="shared" si="2"/>
        <v>#DIV/0!</v>
      </c>
      <c r="M15" s="409">
        <v>10</v>
      </c>
      <c r="N15" s="409">
        <v>15</v>
      </c>
      <c r="O15" s="412">
        <f t="shared" si="3"/>
        <v>66.666666666666671</v>
      </c>
      <c r="P15" s="409">
        <v>11</v>
      </c>
      <c r="Q15" s="409">
        <v>16</v>
      </c>
      <c r="R15" s="412">
        <f t="shared" si="4"/>
        <v>68.75</v>
      </c>
      <c r="S15" s="409"/>
      <c r="T15" s="409"/>
      <c r="U15" s="412" t="e">
        <f t="shared" si="5"/>
        <v>#DIV/0!</v>
      </c>
      <c r="V15" s="409">
        <v>17</v>
      </c>
      <c r="W15" s="409">
        <v>26</v>
      </c>
      <c r="X15" s="413">
        <f t="shared" si="6"/>
        <v>65.384615384615387</v>
      </c>
      <c r="Y15" s="409">
        <v>21</v>
      </c>
      <c r="Z15" s="409">
        <v>31</v>
      </c>
      <c r="AA15" s="413">
        <f t="shared" si="7"/>
        <v>67.741935483870961</v>
      </c>
      <c r="AB15" s="409" t="s">
        <v>259</v>
      </c>
      <c r="AC15" s="409"/>
      <c r="AD15" s="413" t="e">
        <f t="shared" si="8"/>
        <v>#VALUE!</v>
      </c>
      <c r="AE15" s="409"/>
      <c r="AF15" s="409"/>
      <c r="AG15" s="413" t="e">
        <f t="shared" si="9"/>
        <v>#DIV/0!</v>
      </c>
      <c r="AH15" s="409">
        <v>27</v>
      </c>
      <c r="AI15" s="409">
        <v>38</v>
      </c>
      <c r="AJ15" s="410">
        <f t="shared" si="10"/>
        <v>71.05263157894737</v>
      </c>
      <c r="AK15" s="250">
        <v>0.76</v>
      </c>
      <c r="AL15" s="395">
        <v>70</v>
      </c>
      <c r="AP15" s="757"/>
      <c r="AQ15" s="757"/>
      <c r="AR15" s="757"/>
      <c r="AS15" s="757"/>
      <c r="AT15" s="757"/>
      <c r="AU15" s="757"/>
    </row>
    <row r="16" spans="2:47" s="123" customFormat="1" ht="12.75" customHeight="1" x14ac:dyDescent="0.2">
      <c r="B16" s="79" t="s">
        <v>20</v>
      </c>
      <c r="C16" s="408">
        <v>0.82599999999999996</v>
      </c>
      <c r="D16" s="409"/>
      <c r="E16" s="409"/>
      <c r="F16" s="410" t="e">
        <f t="shared" si="0"/>
        <v>#DIV/0!</v>
      </c>
      <c r="G16" s="411"/>
      <c r="H16" s="411"/>
      <c r="I16" s="410" t="e">
        <f t="shared" si="1"/>
        <v>#DIV/0!</v>
      </c>
      <c r="J16" s="409"/>
      <c r="K16" s="409"/>
      <c r="L16" s="410" t="e">
        <f t="shared" si="2"/>
        <v>#DIV/0!</v>
      </c>
      <c r="M16" s="409">
        <v>12</v>
      </c>
      <c r="N16" s="409">
        <v>14</v>
      </c>
      <c r="O16" s="412">
        <f t="shared" si="3"/>
        <v>85.714285714285708</v>
      </c>
      <c r="P16" s="409">
        <v>12</v>
      </c>
      <c r="Q16" s="409">
        <v>16</v>
      </c>
      <c r="R16" s="412">
        <f t="shared" si="4"/>
        <v>75</v>
      </c>
      <c r="S16" s="409"/>
      <c r="T16" s="409"/>
      <c r="U16" s="412" t="e">
        <f t="shared" si="5"/>
        <v>#DIV/0!</v>
      </c>
      <c r="V16" s="409">
        <v>15</v>
      </c>
      <c r="W16" s="409">
        <v>21</v>
      </c>
      <c r="X16" s="413">
        <f t="shared" si="6"/>
        <v>71.428571428571431</v>
      </c>
      <c r="Y16" s="409">
        <v>17</v>
      </c>
      <c r="Z16" s="409">
        <v>24</v>
      </c>
      <c r="AA16" s="413">
        <f t="shared" si="7"/>
        <v>70.833333333333329</v>
      </c>
      <c r="AB16" s="409" t="s">
        <v>259</v>
      </c>
      <c r="AC16" s="409"/>
      <c r="AD16" s="413" t="e">
        <f t="shared" si="8"/>
        <v>#VALUE!</v>
      </c>
      <c r="AE16" s="409"/>
      <c r="AF16" s="409"/>
      <c r="AG16" s="413" t="e">
        <f t="shared" si="9"/>
        <v>#DIV/0!</v>
      </c>
      <c r="AH16" s="409">
        <v>20</v>
      </c>
      <c r="AI16" s="409">
        <v>29</v>
      </c>
      <c r="AJ16" s="410">
        <f t="shared" si="10"/>
        <v>68.965517241379317</v>
      </c>
      <c r="AK16" s="250">
        <v>0.82599999999999996</v>
      </c>
      <c r="AL16" s="395">
        <v>68.965517241379317</v>
      </c>
      <c r="AP16" s="757"/>
      <c r="AQ16" s="757"/>
      <c r="AR16" s="757"/>
      <c r="AS16" s="757"/>
      <c r="AT16" s="757"/>
      <c r="AU16" s="757"/>
    </row>
    <row r="17" spans="2:47" s="123" customFormat="1" ht="12.75" customHeight="1" x14ac:dyDescent="0.2">
      <c r="B17" s="79" t="s">
        <v>21</v>
      </c>
      <c r="C17" s="408">
        <v>0.92900000000000005</v>
      </c>
      <c r="D17" s="409"/>
      <c r="E17" s="409"/>
      <c r="F17" s="410" t="e">
        <f t="shared" si="0"/>
        <v>#DIV/0!</v>
      </c>
      <c r="G17" s="411"/>
      <c r="H17" s="411"/>
      <c r="I17" s="410" t="e">
        <f t="shared" si="1"/>
        <v>#DIV/0!</v>
      </c>
      <c r="J17" s="409"/>
      <c r="K17" s="409"/>
      <c r="L17" s="410" t="e">
        <f t="shared" si="2"/>
        <v>#DIV/0!</v>
      </c>
      <c r="M17" s="409">
        <v>12</v>
      </c>
      <c r="N17" s="409">
        <v>13</v>
      </c>
      <c r="O17" s="412">
        <f t="shared" si="3"/>
        <v>92.307692307692307</v>
      </c>
      <c r="P17" s="409">
        <v>13</v>
      </c>
      <c r="Q17" s="409">
        <v>14</v>
      </c>
      <c r="R17" s="412">
        <f t="shared" si="4"/>
        <v>92.857142857142861</v>
      </c>
      <c r="S17" s="409"/>
      <c r="T17" s="409"/>
      <c r="U17" s="412" t="e">
        <f t="shared" si="5"/>
        <v>#DIV/0!</v>
      </c>
      <c r="V17" s="409">
        <v>23</v>
      </c>
      <c r="W17" s="409">
        <v>30</v>
      </c>
      <c r="X17" s="413">
        <f t="shared" si="6"/>
        <v>76.666666666666671</v>
      </c>
      <c r="Y17" s="409">
        <v>23</v>
      </c>
      <c r="Z17" s="409">
        <v>31</v>
      </c>
      <c r="AA17" s="413">
        <f t="shared" si="7"/>
        <v>74.193548387096769</v>
      </c>
      <c r="AB17" s="409" t="s">
        <v>259</v>
      </c>
      <c r="AC17" s="409"/>
      <c r="AD17" s="413" t="e">
        <f t="shared" si="8"/>
        <v>#VALUE!</v>
      </c>
      <c r="AE17" s="409"/>
      <c r="AF17" s="409"/>
      <c r="AG17" s="413" t="e">
        <f t="shared" si="9"/>
        <v>#DIV/0!</v>
      </c>
      <c r="AH17" s="409">
        <v>27</v>
      </c>
      <c r="AI17" s="409">
        <v>37</v>
      </c>
      <c r="AJ17" s="410">
        <f t="shared" si="10"/>
        <v>72.972972972972968</v>
      </c>
      <c r="AK17" s="250">
        <v>0.92900000000000005</v>
      </c>
      <c r="AL17" s="395">
        <v>70</v>
      </c>
      <c r="AP17" s="757"/>
      <c r="AQ17" s="757"/>
      <c r="AR17" s="757"/>
      <c r="AS17" s="757"/>
      <c r="AT17" s="757"/>
      <c r="AU17" s="757"/>
    </row>
    <row r="18" spans="2:47" s="123" customFormat="1" ht="12.75" customHeight="1" x14ac:dyDescent="0.2">
      <c r="B18" s="79" t="s">
        <v>22</v>
      </c>
      <c r="C18" s="408">
        <v>0.19600000000000001</v>
      </c>
      <c r="D18" s="409"/>
      <c r="E18" s="409"/>
      <c r="F18" s="410" t="e">
        <f t="shared" si="0"/>
        <v>#DIV/0!</v>
      </c>
      <c r="G18" s="411"/>
      <c r="H18" s="411"/>
      <c r="I18" s="410" t="e">
        <f t="shared" si="1"/>
        <v>#DIV/0!</v>
      </c>
      <c r="J18" s="409"/>
      <c r="K18" s="409"/>
      <c r="L18" s="410" t="e">
        <f t="shared" si="2"/>
        <v>#DIV/0!</v>
      </c>
      <c r="M18" s="409">
        <v>2</v>
      </c>
      <c r="N18" s="409">
        <v>3</v>
      </c>
      <c r="O18" s="412">
        <f t="shared" si="3"/>
        <v>66.666666666666671</v>
      </c>
      <c r="P18" s="409">
        <v>2</v>
      </c>
      <c r="Q18" s="409">
        <v>5</v>
      </c>
      <c r="R18" s="412">
        <f t="shared" si="4"/>
        <v>40</v>
      </c>
      <c r="S18" s="409"/>
      <c r="T18" s="409"/>
      <c r="U18" s="412" t="e">
        <f t="shared" si="5"/>
        <v>#DIV/0!</v>
      </c>
      <c r="V18" s="409"/>
      <c r="W18" s="409"/>
      <c r="X18" s="413" t="e">
        <f t="shared" si="6"/>
        <v>#DIV/0!</v>
      </c>
      <c r="Y18" s="409">
        <v>6</v>
      </c>
      <c r="Z18" s="409">
        <v>10</v>
      </c>
      <c r="AA18" s="413">
        <f t="shared" si="7"/>
        <v>60</v>
      </c>
      <c r="AB18" s="409" t="s">
        <v>259</v>
      </c>
      <c r="AC18" s="409"/>
      <c r="AD18" s="413" t="e">
        <f t="shared" si="8"/>
        <v>#VALUE!</v>
      </c>
      <c r="AE18" s="409"/>
      <c r="AF18" s="409"/>
      <c r="AG18" s="413" t="e">
        <f t="shared" si="9"/>
        <v>#DIV/0!</v>
      </c>
      <c r="AH18" s="409">
        <v>9</v>
      </c>
      <c r="AI18" s="409">
        <v>16</v>
      </c>
      <c r="AJ18" s="410">
        <f t="shared" si="10"/>
        <v>56.25</v>
      </c>
      <c r="AK18" s="250">
        <v>0.19600000000000001</v>
      </c>
      <c r="AL18" s="395">
        <v>57.3</v>
      </c>
      <c r="AM18" s="323">
        <f t="shared" ref="AM18:AM19" si="12">+AJ18+(AJ18*0.015)</f>
        <v>57.09375</v>
      </c>
      <c r="AN18" s="323">
        <f>+AL18*100/AJ18</f>
        <v>101.86666666666666</v>
      </c>
    </row>
    <row r="19" spans="2:47" s="123" customFormat="1" ht="12.75" customHeight="1" thickBot="1" x14ac:dyDescent="0.25">
      <c r="B19" s="251" t="s">
        <v>23</v>
      </c>
      <c r="C19" s="417">
        <v>0.63300000000000001</v>
      </c>
      <c r="D19" s="409"/>
      <c r="E19" s="409"/>
      <c r="F19" s="410" t="e">
        <f t="shared" si="0"/>
        <v>#DIV/0!</v>
      </c>
      <c r="G19" s="411"/>
      <c r="H19" s="411"/>
      <c r="I19" s="410" t="e">
        <f t="shared" si="1"/>
        <v>#DIV/0!</v>
      </c>
      <c r="J19" s="409"/>
      <c r="K19" s="409"/>
      <c r="L19" s="410" t="e">
        <f t="shared" si="2"/>
        <v>#DIV/0!</v>
      </c>
      <c r="M19" s="418">
        <v>15</v>
      </c>
      <c r="N19" s="418">
        <v>28</v>
      </c>
      <c r="O19" s="419">
        <f t="shared" si="3"/>
        <v>53.571428571428569</v>
      </c>
      <c r="P19" s="418">
        <v>18</v>
      </c>
      <c r="Q19" s="418">
        <v>33</v>
      </c>
      <c r="R19" s="419">
        <f t="shared" si="4"/>
        <v>54.545454545454547</v>
      </c>
      <c r="S19" s="409"/>
      <c r="T19" s="409"/>
      <c r="U19" s="412" t="e">
        <f t="shared" si="5"/>
        <v>#DIV/0!</v>
      </c>
      <c r="V19" s="409">
        <v>22</v>
      </c>
      <c r="W19" s="409">
        <v>46</v>
      </c>
      <c r="X19" s="413">
        <f t="shared" si="6"/>
        <v>47.826086956521742</v>
      </c>
      <c r="Y19" s="409">
        <v>26</v>
      </c>
      <c r="Z19" s="409">
        <v>54</v>
      </c>
      <c r="AA19" s="413">
        <f t="shared" si="7"/>
        <v>48.148148148148145</v>
      </c>
      <c r="AB19" s="409" t="s">
        <v>259</v>
      </c>
      <c r="AC19" s="409"/>
      <c r="AD19" s="413" t="e">
        <f t="shared" si="8"/>
        <v>#VALUE!</v>
      </c>
      <c r="AE19" s="409"/>
      <c r="AF19" s="409"/>
      <c r="AG19" s="413" t="e">
        <f t="shared" si="9"/>
        <v>#DIV/0!</v>
      </c>
      <c r="AH19" s="409">
        <v>50</v>
      </c>
      <c r="AI19" s="409">
        <v>87</v>
      </c>
      <c r="AJ19" s="410">
        <f t="shared" si="10"/>
        <v>57.47126436781609</v>
      </c>
      <c r="AK19" s="250">
        <v>0.63300000000000001</v>
      </c>
      <c r="AL19" s="395">
        <v>58.5</v>
      </c>
      <c r="AM19" s="323">
        <f t="shared" si="12"/>
        <v>58.333333333333329</v>
      </c>
      <c r="AN19" s="323">
        <f>+AL19*100/AJ19</f>
        <v>101.79</v>
      </c>
    </row>
    <row r="20" spans="2:47" s="123" customFormat="1" ht="12.75" customHeight="1" thickBot="1" x14ac:dyDescent="0.25">
      <c r="B20" s="356" t="s">
        <v>260</v>
      </c>
      <c r="C20" s="357"/>
      <c r="D20" s="357"/>
      <c r="E20" s="357"/>
      <c r="F20" s="357"/>
      <c r="G20" s="357"/>
      <c r="H20" s="357"/>
      <c r="I20" s="357"/>
      <c r="J20" s="357"/>
      <c r="K20" s="357"/>
      <c r="L20" s="357"/>
      <c r="M20" s="357"/>
      <c r="N20" s="357"/>
      <c r="O20" s="357"/>
      <c r="P20" s="357"/>
      <c r="Q20" s="357"/>
      <c r="R20" s="357"/>
      <c r="S20" s="357"/>
      <c r="T20" s="357"/>
      <c r="U20" s="357"/>
      <c r="V20" s="357"/>
      <c r="W20" s="357"/>
      <c r="X20" s="357"/>
      <c r="Y20" s="357"/>
      <c r="Z20" s="357"/>
      <c r="AA20" s="357"/>
      <c r="AB20" s="357"/>
      <c r="AC20" s="357"/>
      <c r="AD20" s="357"/>
      <c r="AE20" s="357"/>
      <c r="AF20" s="357"/>
      <c r="AG20" s="357"/>
      <c r="AH20" s="357"/>
      <c r="AI20" s="357"/>
      <c r="AJ20" s="358"/>
      <c r="AK20" s="358" t="s">
        <v>7</v>
      </c>
      <c r="AL20" s="359"/>
    </row>
    <row r="21" spans="2:47" s="123" customFormat="1" ht="12.75" customHeight="1" thickBot="1" x14ac:dyDescent="0.25">
      <c r="B21" s="252" t="s">
        <v>24</v>
      </c>
      <c r="C21" s="420">
        <v>0.73099999999999998</v>
      </c>
      <c r="D21" s="416"/>
      <c r="E21" s="409"/>
      <c r="F21" s="410">
        <v>73.099999999999994</v>
      </c>
      <c r="G21" s="411"/>
      <c r="H21" s="411"/>
      <c r="I21" s="410" t="e">
        <f>G21*100/H21</f>
        <v>#DIV/0!</v>
      </c>
      <c r="J21" s="409"/>
      <c r="K21" s="409"/>
      <c r="L21" s="410" t="e">
        <f>J21*100/K21</f>
        <v>#DIV/0!</v>
      </c>
      <c r="M21" s="421">
        <v>6</v>
      </c>
      <c r="N21" s="421">
        <v>7</v>
      </c>
      <c r="O21" s="422">
        <f>M21*100/N21</f>
        <v>85.714285714285708</v>
      </c>
      <c r="P21" s="421">
        <v>8</v>
      </c>
      <c r="Q21" s="421">
        <v>10</v>
      </c>
      <c r="R21" s="422">
        <f>P21*100/Q21</f>
        <v>80</v>
      </c>
      <c r="S21" s="409"/>
      <c r="T21" s="409"/>
      <c r="U21" s="412" t="e">
        <f>S21*100/T21</f>
        <v>#DIV/0!</v>
      </c>
      <c r="V21" s="409">
        <v>11</v>
      </c>
      <c r="W21" s="409">
        <v>13</v>
      </c>
      <c r="X21" s="413">
        <f>V21*100/W21</f>
        <v>84.615384615384613</v>
      </c>
      <c r="Y21" s="409">
        <v>13</v>
      </c>
      <c r="Z21" s="409">
        <v>16</v>
      </c>
      <c r="AA21" s="413">
        <f>Y21*100/Z21</f>
        <v>81.25</v>
      </c>
      <c r="AB21" s="409" t="s">
        <v>259</v>
      </c>
      <c r="AC21" s="409"/>
      <c r="AD21" s="413" t="e">
        <f>AB21*100/AC21</f>
        <v>#VALUE!</v>
      </c>
      <c r="AE21" s="409"/>
      <c r="AF21" s="409"/>
      <c r="AG21" s="413" t="e">
        <f>AE21*100/AF21</f>
        <v>#DIV/0!</v>
      </c>
      <c r="AH21" s="409">
        <v>18</v>
      </c>
      <c r="AI21" s="409">
        <v>21</v>
      </c>
      <c r="AJ21" s="410">
        <f>AH21*100/AI21</f>
        <v>85.714285714285708</v>
      </c>
      <c r="AK21" s="250">
        <v>0.73099999999999998</v>
      </c>
      <c r="AL21" s="395">
        <v>70</v>
      </c>
    </row>
    <row r="22" spans="2:47" s="123" customFormat="1" ht="12.75" customHeight="1" thickBot="1" x14ac:dyDescent="0.25">
      <c r="B22" s="252" t="s">
        <v>26</v>
      </c>
      <c r="C22" s="420">
        <v>0.6</v>
      </c>
      <c r="D22" s="416"/>
      <c r="E22" s="409"/>
      <c r="F22" s="410">
        <v>60</v>
      </c>
      <c r="G22" s="411"/>
      <c r="H22" s="411"/>
      <c r="I22" s="410" t="e">
        <f>G22*100/H22</f>
        <v>#DIV/0!</v>
      </c>
      <c r="J22" s="409"/>
      <c r="K22" s="409"/>
      <c r="L22" s="410" t="e">
        <f>J22*100/K22</f>
        <v>#DIV/0!</v>
      </c>
      <c r="M22" s="409">
        <v>1</v>
      </c>
      <c r="N22" s="409">
        <v>2</v>
      </c>
      <c r="O22" s="412">
        <f>M22*100/N22</f>
        <v>50</v>
      </c>
      <c r="P22" s="409">
        <v>1</v>
      </c>
      <c r="Q22" s="409">
        <v>2</v>
      </c>
      <c r="R22" s="412">
        <f>P22*100/Q22</f>
        <v>50</v>
      </c>
      <c r="S22" s="409"/>
      <c r="T22" s="409"/>
      <c r="U22" s="412" t="e">
        <f>S22*100/T22</f>
        <v>#DIV/0!</v>
      </c>
      <c r="V22" s="409">
        <v>1</v>
      </c>
      <c r="W22" s="409">
        <v>2</v>
      </c>
      <c r="X22" s="413">
        <f>V22*100/W22</f>
        <v>50</v>
      </c>
      <c r="Y22" s="409">
        <v>1</v>
      </c>
      <c r="Z22" s="409">
        <v>2</v>
      </c>
      <c r="AA22" s="413">
        <f>Y22*100/Z22</f>
        <v>50</v>
      </c>
      <c r="AB22" s="409" t="s">
        <v>259</v>
      </c>
      <c r="AC22" s="409"/>
      <c r="AD22" s="413" t="e">
        <f>AB22*100/AC22</f>
        <v>#VALUE!</v>
      </c>
      <c r="AE22" s="409"/>
      <c r="AF22" s="409"/>
      <c r="AG22" s="413" t="e">
        <f>AE22*100/AF22</f>
        <v>#DIV/0!</v>
      </c>
      <c r="AH22" s="409">
        <v>3</v>
      </c>
      <c r="AI22" s="409">
        <v>4</v>
      </c>
      <c r="AJ22" s="410">
        <f>AH22*100/AI22</f>
        <v>75</v>
      </c>
      <c r="AK22" s="250">
        <v>0.6</v>
      </c>
      <c r="AL22" s="395">
        <v>70</v>
      </c>
    </row>
    <row r="23" spans="2:47" s="123" customFormat="1" ht="12.75" customHeight="1" thickBot="1" x14ac:dyDescent="0.25">
      <c r="B23" s="252" t="s">
        <v>27</v>
      </c>
      <c r="C23" s="420">
        <v>0.56200000000000006</v>
      </c>
      <c r="D23" s="416"/>
      <c r="E23" s="409"/>
      <c r="F23" s="410" t="e">
        <f>D23*100/E23</f>
        <v>#DIV/0!</v>
      </c>
      <c r="G23" s="411"/>
      <c r="H23" s="411"/>
      <c r="I23" s="410" t="e">
        <f>G23*100/H23</f>
        <v>#DIV/0!</v>
      </c>
      <c r="J23" s="409"/>
      <c r="K23" s="409"/>
      <c r="L23" s="410" t="e">
        <f>J23*100/K23</f>
        <v>#DIV/0!</v>
      </c>
      <c r="M23" s="409">
        <v>7</v>
      </c>
      <c r="N23" s="409">
        <v>13</v>
      </c>
      <c r="O23" s="412">
        <f>M23*100/N23</f>
        <v>53.846153846153847</v>
      </c>
      <c r="P23" s="409">
        <v>7</v>
      </c>
      <c r="Q23" s="409">
        <v>15</v>
      </c>
      <c r="R23" s="412">
        <f>P23*100/Q23</f>
        <v>46.666666666666664</v>
      </c>
      <c r="S23" s="409"/>
      <c r="T23" s="409"/>
      <c r="U23" s="412" t="e">
        <f>S23*100/T23</f>
        <v>#DIV/0!</v>
      </c>
      <c r="V23" s="409">
        <v>16</v>
      </c>
      <c r="W23" s="409">
        <v>28</v>
      </c>
      <c r="X23" s="413">
        <f>V23*100/W23</f>
        <v>57.142857142857146</v>
      </c>
      <c r="Y23" s="409">
        <v>17</v>
      </c>
      <c r="Z23" s="409">
        <v>29</v>
      </c>
      <c r="AA23" s="413">
        <f>Y23*100/Z23</f>
        <v>58.620689655172413</v>
      </c>
      <c r="AB23" s="409" t="s">
        <v>259</v>
      </c>
      <c r="AC23" s="409"/>
      <c r="AD23" s="413" t="e">
        <f>AB23*100/AC23</f>
        <v>#VALUE!</v>
      </c>
      <c r="AE23" s="409"/>
      <c r="AF23" s="409"/>
      <c r="AG23" s="413" t="e">
        <f>AE23*100/AF23</f>
        <v>#DIV/0!</v>
      </c>
      <c r="AH23" s="409">
        <v>21</v>
      </c>
      <c r="AI23" s="409">
        <v>35</v>
      </c>
      <c r="AJ23" s="410">
        <f>AH23*100/AI23</f>
        <v>60</v>
      </c>
      <c r="AK23" s="250">
        <v>0.56200000000000006</v>
      </c>
      <c r="AL23" s="395">
        <v>60</v>
      </c>
    </row>
    <row r="24" spans="2:47" s="123" customFormat="1" ht="12.75" customHeight="1" thickBot="1" x14ac:dyDescent="0.25">
      <c r="B24" s="252" t="s">
        <v>28</v>
      </c>
      <c r="C24" s="420">
        <v>0.73899999999999999</v>
      </c>
      <c r="D24" s="416"/>
      <c r="E24" s="409"/>
      <c r="F24" s="410" t="e">
        <f>D24*100/E24</f>
        <v>#DIV/0!</v>
      </c>
      <c r="G24" s="411"/>
      <c r="H24" s="411"/>
      <c r="I24" s="410" t="e">
        <f>G24*100/H24</f>
        <v>#DIV/0!</v>
      </c>
      <c r="J24" s="409"/>
      <c r="K24" s="409"/>
      <c r="L24" s="410" t="e">
        <f>J24*100/K24</f>
        <v>#DIV/0!</v>
      </c>
      <c r="M24" s="409">
        <v>4</v>
      </c>
      <c r="N24" s="409">
        <v>9</v>
      </c>
      <c r="O24" s="412">
        <f>M24*100/N24</f>
        <v>44.444444444444443</v>
      </c>
      <c r="P24" s="409">
        <v>5</v>
      </c>
      <c r="Q24" s="409">
        <v>10</v>
      </c>
      <c r="R24" s="412">
        <f>P24*100/Q24</f>
        <v>50</v>
      </c>
      <c r="S24" s="409"/>
      <c r="T24" s="409"/>
      <c r="U24" s="412" t="e">
        <f>S24*100/T24</f>
        <v>#DIV/0!</v>
      </c>
      <c r="V24" s="409">
        <v>8</v>
      </c>
      <c r="W24" s="409">
        <v>13</v>
      </c>
      <c r="X24" s="413">
        <f>V24*100/W24</f>
        <v>61.53846153846154</v>
      </c>
      <c r="Y24" s="409">
        <v>10</v>
      </c>
      <c r="Z24" s="409">
        <v>15</v>
      </c>
      <c r="AA24" s="413">
        <f>Y24*100/Z24</f>
        <v>66.666666666666671</v>
      </c>
      <c r="AB24" s="409" t="s">
        <v>259</v>
      </c>
      <c r="AC24" s="409"/>
      <c r="AD24" s="413" t="e">
        <f>AB24*100/AC24</f>
        <v>#VALUE!</v>
      </c>
      <c r="AE24" s="409"/>
      <c r="AF24" s="409"/>
      <c r="AG24" s="413" t="e">
        <f>AE24*100/AF24</f>
        <v>#DIV/0!</v>
      </c>
      <c r="AH24" s="409">
        <v>15</v>
      </c>
      <c r="AI24" s="409">
        <v>20</v>
      </c>
      <c r="AJ24" s="410">
        <f>AH24*100/AI24</f>
        <v>75</v>
      </c>
      <c r="AK24" s="250">
        <v>0.73899999999999999</v>
      </c>
      <c r="AL24" s="395">
        <v>70</v>
      </c>
    </row>
    <row r="25" spans="2:47" s="123" customFormat="1" ht="12.75" customHeight="1" thickBot="1" x14ac:dyDescent="0.25">
      <c r="B25" s="252" t="s">
        <v>29</v>
      </c>
      <c r="C25" s="420">
        <v>0</v>
      </c>
      <c r="D25" s="416"/>
      <c r="E25" s="409"/>
      <c r="F25" s="410"/>
      <c r="G25" s="411"/>
      <c r="H25" s="411"/>
      <c r="I25" s="410"/>
      <c r="J25" s="409"/>
      <c r="K25" s="409"/>
      <c r="L25" s="410"/>
      <c r="M25" s="409"/>
      <c r="N25" s="409"/>
      <c r="O25" s="412"/>
      <c r="P25" s="409"/>
      <c r="Q25" s="409"/>
      <c r="R25" s="412"/>
      <c r="S25" s="409"/>
      <c r="T25" s="409"/>
      <c r="U25" s="412"/>
      <c r="V25" s="409"/>
      <c r="W25" s="409"/>
      <c r="X25" s="413"/>
      <c r="Y25" s="409"/>
      <c r="Z25" s="409"/>
      <c r="AA25" s="413"/>
      <c r="AB25" s="409"/>
      <c r="AC25" s="409"/>
      <c r="AD25" s="413"/>
      <c r="AE25" s="409"/>
      <c r="AF25" s="409"/>
      <c r="AG25" s="413"/>
      <c r="AH25" s="409"/>
      <c r="AI25" s="409"/>
      <c r="AJ25" s="410"/>
      <c r="AK25" s="250" t="s">
        <v>73</v>
      </c>
      <c r="AL25" s="395"/>
    </row>
    <row r="26" spans="2:47" s="123" customFormat="1" ht="12.75" customHeight="1" thickBot="1" x14ac:dyDescent="0.25">
      <c r="B26" s="252" t="s">
        <v>30</v>
      </c>
      <c r="C26" s="420">
        <v>0.92600000000000005</v>
      </c>
      <c r="D26" s="416"/>
      <c r="E26" s="409"/>
      <c r="F26" s="410" t="e">
        <f>D26*100/E26</f>
        <v>#DIV/0!</v>
      </c>
      <c r="G26" s="411"/>
      <c r="H26" s="411"/>
      <c r="I26" s="410" t="e">
        <f>G26*100/H26</f>
        <v>#DIV/0!</v>
      </c>
      <c r="J26" s="409"/>
      <c r="K26" s="409"/>
      <c r="L26" s="410" t="e">
        <f>J26*100/K26</f>
        <v>#DIV/0!</v>
      </c>
      <c r="M26" s="409">
        <v>7</v>
      </c>
      <c r="N26" s="409">
        <v>8</v>
      </c>
      <c r="O26" s="412">
        <f>M26*100/N26</f>
        <v>87.5</v>
      </c>
      <c r="P26" s="409">
        <v>7</v>
      </c>
      <c r="Q26" s="409">
        <v>8</v>
      </c>
      <c r="R26" s="412">
        <f>P26*100/Q26</f>
        <v>87.5</v>
      </c>
      <c r="S26" s="409"/>
      <c r="T26" s="409"/>
      <c r="U26" s="412" t="e">
        <f>S26*100/T26</f>
        <v>#DIV/0!</v>
      </c>
      <c r="V26" s="409">
        <v>11</v>
      </c>
      <c r="W26" s="409">
        <v>12</v>
      </c>
      <c r="X26" s="413">
        <f>V26*100/W26</f>
        <v>91.666666666666671</v>
      </c>
      <c r="Y26" s="409">
        <v>11</v>
      </c>
      <c r="Z26" s="409">
        <v>12</v>
      </c>
      <c r="AA26" s="413">
        <f>Y26*100/Z26</f>
        <v>91.666666666666671</v>
      </c>
      <c r="AB26" s="409" t="s">
        <v>259</v>
      </c>
      <c r="AC26" s="409"/>
      <c r="AD26" s="413" t="e">
        <f>AB26*100/AC26</f>
        <v>#VALUE!</v>
      </c>
      <c r="AE26" s="409"/>
      <c r="AF26" s="409"/>
      <c r="AG26" s="413" t="e">
        <f>AE26*100/AF26</f>
        <v>#DIV/0!</v>
      </c>
      <c r="AH26" s="409">
        <v>21</v>
      </c>
      <c r="AI26" s="409">
        <v>23</v>
      </c>
      <c r="AJ26" s="410">
        <f>AH26*100/AI26</f>
        <v>91.304347826086953</v>
      </c>
      <c r="AK26" s="250">
        <v>0.92600000000000005</v>
      </c>
      <c r="AL26" s="395">
        <v>70</v>
      </c>
    </row>
    <row r="27" spans="2:47" s="123" customFormat="1" ht="12.75" customHeight="1" thickBot="1" x14ac:dyDescent="0.25">
      <c r="B27" s="252" t="s">
        <v>31</v>
      </c>
      <c r="C27" s="420">
        <v>0.39</v>
      </c>
      <c r="D27" s="423"/>
      <c r="E27" s="418"/>
      <c r="F27" s="424" t="e">
        <f>D27*100/E27</f>
        <v>#DIV/0!</v>
      </c>
      <c r="G27" s="425"/>
      <c r="H27" s="425"/>
      <c r="I27" s="424" t="e">
        <f>G27*100/H27</f>
        <v>#DIV/0!</v>
      </c>
      <c r="J27" s="418"/>
      <c r="K27" s="418"/>
      <c r="L27" s="424" t="e">
        <f>J27*100/K27</f>
        <v>#DIV/0!</v>
      </c>
      <c r="M27" s="418">
        <v>6</v>
      </c>
      <c r="N27" s="418">
        <v>12</v>
      </c>
      <c r="O27" s="419">
        <f>M27*100/N27</f>
        <v>50</v>
      </c>
      <c r="P27" s="418">
        <v>7</v>
      </c>
      <c r="Q27" s="418">
        <v>14</v>
      </c>
      <c r="R27" s="419">
        <f>P27*100/Q27</f>
        <v>50</v>
      </c>
      <c r="S27" s="409"/>
      <c r="T27" s="409"/>
      <c r="U27" s="412" t="e">
        <f>S27*100/T27</f>
        <v>#DIV/0!</v>
      </c>
      <c r="V27" s="409">
        <v>9</v>
      </c>
      <c r="W27" s="409">
        <v>18</v>
      </c>
      <c r="X27" s="413">
        <f>V27*100/W27</f>
        <v>50</v>
      </c>
      <c r="Y27" s="409">
        <v>11</v>
      </c>
      <c r="Z27" s="409">
        <v>22</v>
      </c>
      <c r="AA27" s="413">
        <f>Y27*100/Z27</f>
        <v>50</v>
      </c>
      <c r="AB27" s="409" t="s">
        <v>259</v>
      </c>
      <c r="AC27" s="409"/>
      <c r="AD27" s="413" t="e">
        <f>AB27*100/AC27</f>
        <v>#VALUE!</v>
      </c>
      <c r="AE27" s="409"/>
      <c r="AF27" s="409"/>
      <c r="AG27" s="413" t="e">
        <f>AE27*100/AF27</f>
        <v>#DIV/0!</v>
      </c>
      <c r="AH27" s="409">
        <v>12</v>
      </c>
      <c r="AI27" s="409">
        <v>31</v>
      </c>
      <c r="AJ27" s="410">
        <f>AH27*100/AI27</f>
        <v>38.70967741935484</v>
      </c>
      <c r="AK27" s="250">
        <v>0.39</v>
      </c>
      <c r="AL27" s="395">
        <v>42</v>
      </c>
      <c r="AM27" s="323">
        <f>+AJ27+(AJ27*0.015)</f>
        <v>39.29032258064516</v>
      </c>
      <c r="AN27" s="323">
        <f>+AL27*100/AJ27</f>
        <v>108.5</v>
      </c>
    </row>
    <row r="28" spans="2:47" s="123" customFormat="1" ht="12.75" customHeight="1" thickBot="1" x14ac:dyDescent="0.25">
      <c r="B28" s="356" t="s">
        <v>261</v>
      </c>
      <c r="C28" s="357"/>
      <c r="D28" s="357"/>
      <c r="E28" s="357"/>
      <c r="F28" s="357"/>
      <c r="G28" s="357"/>
      <c r="H28" s="357"/>
      <c r="I28" s="357"/>
      <c r="J28" s="357"/>
      <c r="K28" s="357"/>
      <c r="L28" s="357"/>
      <c r="M28" s="357"/>
      <c r="N28" s="357"/>
      <c r="O28" s="357"/>
      <c r="P28" s="357"/>
      <c r="Q28" s="357"/>
      <c r="R28" s="357"/>
      <c r="S28" s="357"/>
      <c r="T28" s="357"/>
      <c r="U28" s="357"/>
      <c r="V28" s="357"/>
      <c r="W28" s="357"/>
      <c r="X28" s="357"/>
      <c r="Y28" s="357"/>
      <c r="Z28" s="357"/>
      <c r="AA28" s="357"/>
      <c r="AB28" s="357"/>
      <c r="AC28" s="357"/>
      <c r="AD28" s="357"/>
      <c r="AE28" s="357"/>
      <c r="AF28" s="357"/>
      <c r="AG28" s="357"/>
      <c r="AH28" s="357"/>
      <c r="AI28" s="357"/>
      <c r="AJ28" s="358"/>
      <c r="AK28" s="358" t="s">
        <v>25</v>
      </c>
      <c r="AL28" s="359"/>
    </row>
    <row r="29" spans="2:47" s="123" customFormat="1" ht="12.75" customHeight="1" thickBot="1" x14ac:dyDescent="0.25">
      <c r="B29" s="252" t="s">
        <v>32</v>
      </c>
      <c r="C29" s="420">
        <v>0.53700000000000003</v>
      </c>
      <c r="D29" s="426"/>
      <c r="E29" s="421"/>
      <c r="F29" s="427" t="e">
        <f t="shared" ref="F29:F35" si="13">D29*100/E29</f>
        <v>#DIV/0!</v>
      </c>
      <c r="G29" s="428"/>
      <c r="H29" s="428"/>
      <c r="I29" s="427" t="e">
        <f t="shared" ref="I29:I35" si="14">G29*100/H29</f>
        <v>#DIV/0!</v>
      </c>
      <c r="J29" s="421"/>
      <c r="K29" s="421"/>
      <c r="L29" s="427" t="e">
        <f t="shared" ref="L29:L35" si="15">J29*100/K29</f>
        <v>#DIV/0!</v>
      </c>
      <c r="M29" s="421">
        <v>42</v>
      </c>
      <c r="N29" s="421">
        <v>71</v>
      </c>
      <c r="O29" s="422">
        <f t="shared" ref="O29:O35" si="16">M29*100/N29</f>
        <v>59.154929577464792</v>
      </c>
      <c r="P29" s="421">
        <v>45</v>
      </c>
      <c r="Q29" s="421">
        <v>77</v>
      </c>
      <c r="R29" s="422">
        <f t="shared" ref="R29:R35" si="17">P29*100/Q29</f>
        <v>58.441558441558442</v>
      </c>
      <c r="S29" s="409"/>
      <c r="T29" s="409"/>
      <c r="U29" s="412" t="e">
        <f t="shared" ref="U29:U35" si="18">S29*100/T29</f>
        <v>#DIV/0!</v>
      </c>
      <c r="V29" s="409">
        <v>63</v>
      </c>
      <c r="W29" s="409">
        <v>105</v>
      </c>
      <c r="X29" s="413">
        <f t="shared" ref="X29:X35" si="19">V29*100/W29</f>
        <v>60</v>
      </c>
      <c r="Y29" s="409">
        <v>75</v>
      </c>
      <c r="Z29" s="409">
        <v>124</v>
      </c>
      <c r="AA29" s="413">
        <f t="shared" ref="AA29:AA35" si="20">Y29*100/Z29</f>
        <v>60.483870967741936</v>
      </c>
      <c r="AB29" s="409" t="s">
        <v>259</v>
      </c>
      <c r="AC29" s="409"/>
      <c r="AD29" s="413" t="e">
        <f t="shared" ref="AD29:AD35" si="21">AB29*100/AC29</f>
        <v>#VALUE!</v>
      </c>
      <c r="AE29" s="409"/>
      <c r="AF29" s="409"/>
      <c r="AG29" s="413" t="e">
        <f t="shared" ref="AG29:AG35" si="22">AE29*100/AF29</f>
        <v>#DIV/0!</v>
      </c>
      <c r="AH29" s="409">
        <v>94</v>
      </c>
      <c r="AI29" s="409">
        <v>163</v>
      </c>
      <c r="AJ29" s="410">
        <f t="shared" ref="AJ29:AJ35" si="23">AH29*100/AI29</f>
        <v>57.668711656441715</v>
      </c>
      <c r="AK29" s="250">
        <v>0.53700000000000003</v>
      </c>
      <c r="AL29" s="395">
        <v>58.7</v>
      </c>
      <c r="AM29" s="323">
        <f>+AJ29+(AJ29*0.015)</f>
        <v>58.533742331288337</v>
      </c>
      <c r="AN29" s="323">
        <f>+AL29*100/AJ29</f>
        <v>101.78829787234044</v>
      </c>
    </row>
    <row r="30" spans="2:47" s="123" customFormat="1" ht="12.75" customHeight="1" thickBot="1" x14ac:dyDescent="0.25">
      <c r="B30" s="252" t="s">
        <v>34</v>
      </c>
      <c r="C30" s="420">
        <v>0.65500000000000003</v>
      </c>
      <c r="D30" s="416"/>
      <c r="E30" s="409"/>
      <c r="F30" s="410" t="e">
        <f t="shared" si="13"/>
        <v>#DIV/0!</v>
      </c>
      <c r="G30" s="411"/>
      <c r="H30" s="411"/>
      <c r="I30" s="410" t="e">
        <f t="shared" si="14"/>
        <v>#DIV/0!</v>
      </c>
      <c r="J30" s="409"/>
      <c r="K30" s="409"/>
      <c r="L30" s="410" t="e">
        <f t="shared" si="15"/>
        <v>#DIV/0!</v>
      </c>
      <c r="M30" s="409">
        <v>14</v>
      </c>
      <c r="N30" s="409">
        <v>20</v>
      </c>
      <c r="O30" s="412">
        <f t="shared" si="16"/>
        <v>70</v>
      </c>
      <c r="P30" s="409">
        <v>14</v>
      </c>
      <c r="Q30" s="409">
        <v>21</v>
      </c>
      <c r="R30" s="412">
        <f t="shared" si="17"/>
        <v>66.666666666666671</v>
      </c>
      <c r="S30" s="409"/>
      <c r="T30" s="409"/>
      <c r="U30" s="412" t="e">
        <f t="shared" si="18"/>
        <v>#DIV/0!</v>
      </c>
      <c r="V30" s="409">
        <v>18</v>
      </c>
      <c r="W30" s="409">
        <v>25</v>
      </c>
      <c r="X30" s="413">
        <f t="shared" si="19"/>
        <v>72</v>
      </c>
      <c r="Y30" s="409">
        <v>21</v>
      </c>
      <c r="Z30" s="409">
        <v>29</v>
      </c>
      <c r="AA30" s="413">
        <f t="shared" si="20"/>
        <v>72.41379310344827</v>
      </c>
      <c r="AB30" s="409" t="s">
        <v>259</v>
      </c>
      <c r="AC30" s="409"/>
      <c r="AD30" s="413" t="e">
        <f t="shared" si="21"/>
        <v>#VALUE!</v>
      </c>
      <c r="AE30" s="409"/>
      <c r="AF30" s="409"/>
      <c r="AG30" s="413" t="e">
        <f t="shared" si="22"/>
        <v>#DIV/0!</v>
      </c>
      <c r="AH30" s="409">
        <v>23</v>
      </c>
      <c r="AI30" s="409">
        <v>32</v>
      </c>
      <c r="AJ30" s="410">
        <f t="shared" si="23"/>
        <v>71.875</v>
      </c>
      <c r="AK30" s="250">
        <v>0.65500000000000003</v>
      </c>
      <c r="AL30" s="395">
        <v>70</v>
      </c>
    </row>
    <row r="31" spans="2:47" s="123" customFormat="1" ht="12.75" customHeight="1" thickBot="1" x14ac:dyDescent="0.25">
      <c r="B31" s="252" t="s">
        <v>35</v>
      </c>
      <c r="C31" s="420">
        <v>0.45800000000000002</v>
      </c>
      <c r="D31" s="416"/>
      <c r="E31" s="409"/>
      <c r="F31" s="410" t="e">
        <f t="shared" si="13"/>
        <v>#DIV/0!</v>
      </c>
      <c r="G31" s="411"/>
      <c r="H31" s="411"/>
      <c r="I31" s="410" t="e">
        <f t="shared" si="14"/>
        <v>#DIV/0!</v>
      </c>
      <c r="J31" s="409"/>
      <c r="K31" s="409"/>
      <c r="L31" s="410" t="e">
        <f t="shared" si="15"/>
        <v>#DIV/0!</v>
      </c>
      <c r="M31" s="409">
        <v>30</v>
      </c>
      <c r="N31" s="409">
        <v>46</v>
      </c>
      <c r="O31" s="412">
        <f t="shared" si="16"/>
        <v>65.217391304347828</v>
      </c>
      <c r="P31" s="409">
        <v>31</v>
      </c>
      <c r="Q31" s="409">
        <v>48</v>
      </c>
      <c r="R31" s="412">
        <f t="shared" si="17"/>
        <v>64.583333333333329</v>
      </c>
      <c r="S31" s="409"/>
      <c r="T31" s="409"/>
      <c r="U31" s="412" t="e">
        <f t="shared" si="18"/>
        <v>#DIV/0!</v>
      </c>
      <c r="V31" s="409">
        <v>37</v>
      </c>
      <c r="W31" s="409">
        <v>60</v>
      </c>
      <c r="X31" s="413">
        <f t="shared" si="19"/>
        <v>61.666666666666664</v>
      </c>
      <c r="Y31" s="409">
        <v>41</v>
      </c>
      <c r="Z31" s="409">
        <v>67</v>
      </c>
      <c r="AA31" s="413">
        <f t="shared" si="20"/>
        <v>61.194029850746269</v>
      </c>
      <c r="AB31" s="409" t="s">
        <v>259</v>
      </c>
      <c r="AC31" s="409"/>
      <c r="AD31" s="413" t="e">
        <f t="shared" si="21"/>
        <v>#VALUE!</v>
      </c>
      <c r="AE31" s="409"/>
      <c r="AF31" s="409"/>
      <c r="AG31" s="413" t="e">
        <f t="shared" si="22"/>
        <v>#DIV/0!</v>
      </c>
      <c r="AH31" s="409">
        <v>61</v>
      </c>
      <c r="AI31" s="409">
        <v>92</v>
      </c>
      <c r="AJ31" s="410">
        <f t="shared" si="23"/>
        <v>66.304347826086953</v>
      </c>
      <c r="AK31" s="250">
        <v>0.45800000000000002</v>
      </c>
      <c r="AL31" s="395">
        <v>66.304347826086953</v>
      </c>
    </row>
    <row r="32" spans="2:47" s="123" customFormat="1" ht="12.75" customHeight="1" thickBot="1" x14ac:dyDescent="0.25">
      <c r="B32" s="252" t="s">
        <v>36</v>
      </c>
      <c r="C32" s="420">
        <v>0.73</v>
      </c>
      <c r="D32" s="416"/>
      <c r="E32" s="409"/>
      <c r="F32" s="410" t="e">
        <f t="shared" si="13"/>
        <v>#DIV/0!</v>
      </c>
      <c r="G32" s="411"/>
      <c r="H32" s="411"/>
      <c r="I32" s="410" t="e">
        <f t="shared" si="14"/>
        <v>#DIV/0!</v>
      </c>
      <c r="J32" s="409"/>
      <c r="K32" s="409"/>
      <c r="L32" s="410" t="e">
        <f t="shared" si="15"/>
        <v>#DIV/0!</v>
      </c>
      <c r="M32" s="409">
        <v>38</v>
      </c>
      <c r="N32" s="409">
        <v>57</v>
      </c>
      <c r="O32" s="412">
        <f t="shared" si="16"/>
        <v>66.666666666666671</v>
      </c>
      <c r="P32" s="409">
        <v>45</v>
      </c>
      <c r="Q32" s="409">
        <v>70</v>
      </c>
      <c r="R32" s="412">
        <f t="shared" si="17"/>
        <v>64.285714285714292</v>
      </c>
      <c r="S32" s="409"/>
      <c r="T32" s="409"/>
      <c r="U32" s="412" t="e">
        <f t="shared" si="18"/>
        <v>#DIV/0!</v>
      </c>
      <c r="V32" s="409">
        <v>58</v>
      </c>
      <c r="W32" s="409">
        <v>88</v>
      </c>
      <c r="X32" s="413">
        <f t="shared" si="19"/>
        <v>65.909090909090907</v>
      </c>
      <c r="Y32" s="409">
        <v>60</v>
      </c>
      <c r="Z32" s="409">
        <v>97</v>
      </c>
      <c r="AA32" s="413">
        <f t="shared" si="20"/>
        <v>61.855670103092784</v>
      </c>
      <c r="AB32" s="409" t="s">
        <v>259</v>
      </c>
      <c r="AC32" s="409"/>
      <c r="AD32" s="413" t="e">
        <f t="shared" si="21"/>
        <v>#VALUE!</v>
      </c>
      <c r="AE32" s="409"/>
      <c r="AF32" s="409"/>
      <c r="AG32" s="413" t="e">
        <f t="shared" si="22"/>
        <v>#DIV/0!</v>
      </c>
      <c r="AH32" s="409">
        <v>75</v>
      </c>
      <c r="AI32" s="409">
        <v>121</v>
      </c>
      <c r="AJ32" s="410">
        <f t="shared" si="23"/>
        <v>61.983471074380162</v>
      </c>
      <c r="AK32" s="250">
        <v>0.73</v>
      </c>
      <c r="AL32" s="395">
        <v>61.983471074380162</v>
      </c>
    </row>
    <row r="33" spans="2:40" s="123" customFormat="1" ht="12.75" customHeight="1" thickBot="1" x14ac:dyDescent="0.25">
      <c r="B33" s="252" t="s">
        <v>37</v>
      </c>
      <c r="C33" s="420">
        <v>0.6</v>
      </c>
      <c r="D33" s="416"/>
      <c r="E33" s="409"/>
      <c r="F33" s="410" t="e">
        <f t="shared" si="13"/>
        <v>#DIV/0!</v>
      </c>
      <c r="G33" s="411"/>
      <c r="H33" s="411"/>
      <c r="I33" s="410" t="e">
        <f t="shared" si="14"/>
        <v>#DIV/0!</v>
      </c>
      <c r="J33" s="409"/>
      <c r="K33" s="409"/>
      <c r="L33" s="410" t="e">
        <f t="shared" si="15"/>
        <v>#DIV/0!</v>
      </c>
      <c r="M33" s="409">
        <v>38</v>
      </c>
      <c r="N33" s="409">
        <v>83</v>
      </c>
      <c r="O33" s="412">
        <f t="shared" si="16"/>
        <v>45.783132530120483</v>
      </c>
      <c r="P33" s="409">
        <v>46</v>
      </c>
      <c r="Q33" s="409">
        <v>95</v>
      </c>
      <c r="R33" s="412">
        <f t="shared" si="17"/>
        <v>48.421052631578945</v>
      </c>
      <c r="S33" s="409"/>
      <c r="T33" s="409"/>
      <c r="U33" s="412" t="e">
        <f t="shared" si="18"/>
        <v>#DIV/0!</v>
      </c>
      <c r="V33" s="409">
        <v>58</v>
      </c>
      <c r="W33" s="409">
        <v>125</v>
      </c>
      <c r="X33" s="413">
        <f t="shared" si="19"/>
        <v>46.4</v>
      </c>
      <c r="Y33" s="409">
        <v>63</v>
      </c>
      <c r="Z33" s="409">
        <v>135</v>
      </c>
      <c r="AA33" s="413">
        <f t="shared" si="20"/>
        <v>46.666666666666664</v>
      </c>
      <c r="AB33" s="409" t="s">
        <v>259</v>
      </c>
      <c r="AC33" s="409"/>
      <c r="AD33" s="413" t="e">
        <f t="shared" si="21"/>
        <v>#VALUE!</v>
      </c>
      <c r="AE33" s="409"/>
      <c r="AF33" s="409"/>
      <c r="AG33" s="413" t="e">
        <f t="shared" si="22"/>
        <v>#DIV/0!</v>
      </c>
      <c r="AH33" s="409">
        <v>81</v>
      </c>
      <c r="AI33" s="409">
        <v>173</v>
      </c>
      <c r="AJ33" s="410">
        <f t="shared" si="23"/>
        <v>46.820809248554916</v>
      </c>
      <c r="AK33" s="250">
        <v>0.6</v>
      </c>
      <c r="AL33" s="395">
        <v>48.8</v>
      </c>
      <c r="AM33" s="323">
        <f>+AJ33+(AJ33*0.015)</f>
        <v>47.52312138728324</v>
      </c>
      <c r="AN33" s="323">
        <f>+AL33*100/AJ33</f>
        <v>104.22716049382716</v>
      </c>
    </row>
    <row r="34" spans="2:40" s="123" customFormat="1" ht="12.75" customHeight="1" thickBot="1" x14ac:dyDescent="0.25">
      <c r="B34" s="252" t="s">
        <v>38</v>
      </c>
      <c r="C34" s="420">
        <v>0.88900000000000001</v>
      </c>
      <c r="D34" s="416"/>
      <c r="E34" s="409"/>
      <c r="F34" s="410" t="e">
        <f t="shared" si="13"/>
        <v>#DIV/0!</v>
      </c>
      <c r="G34" s="411"/>
      <c r="H34" s="411"/>
      <c r="I34" s="410" t="e">
        <f t="shared" si="14"/>
        <v>#DIV/0!</v>
      </c>
      <c r="J34" s="409"/>
      <c r="K34" s="409"/>
      <c r="L34" s="410" t="e">
        <f t="shared" si="15"/>
        <v>#DIV/0!</v>
      </c>
      <c r="M34" s="409">
        <v>4</v>
      </c>
      <c r="N34" s="409">
        <v>5</v>
      </c>
      <c r="O34" s="412">
        <f t="shared" si="16"/>
        <v>80</v>
      </c>
      <c r="P34" s="409">
        <v>7</v>
      </c>
      <c r="Q34" s="409">
        <v>9</v>
      </c>
      <c r="R34" s="412">
        <f t="shared" si="17"/>
        <v>77.777777777777771</v>
      </c>
      <c r="S34" s="409"/>
      <c r="T34" s="409"/>
      <c r="U34" s="412" t="e">
        <f t="shared" si="18"/>
        <v>#DIV/0!</v>
      </c>
      <c r="V34" s="409">
        <v>9</v>
      </c>
      <c r="W34" s="409">
        <v>11</v>
      </c>
      <c r="X34" s="413">
        <f t="shared" si="19"/>
        <v>81.818181818181813</v>
      </c>
      <c r="Y34" s="409">
        <v>10</v>
      </c>
      <c r="Z34" s="409">
        <v>12</v>
      </c>
      <c r="AA34" s="413">
        <f t="shared" si="20"/>
        <v>83.333333333333329</v>
      </c>
      <c r="AB34" s="409" t="s">
        <v>259</v>
      </c>
      <c r="AC34" s="409"/>
      <c r="AD34" s="413" t="e">
        <f t="shared" si="21"/>
        <v>#VALUE!</v>
      </c>
      <c r="AE34" s="409"/>
      <c r="AF34" s="409"/>
      <c r="AG34" s="413" t="e">
        <f t="shared" si="22"/>
        <v>#DIV/0!</v>
      </c>
      <c r="AH34" s="409">
        <v>27</v>
      </c>
      <c r="AI34" s="409">
        <v>30</v>
      </c>
      <c r="AJ34" s="410">
        <f t="shared" si="23"/>
        <v>90</v>
      </c>
      <c r="AK34" s="250">
        <v>0.88900000000000001</v>
      </c>
      <c r="AL34" s="395">
        <v>70</v>
      </c>
    </row>
    <row r="35" spans="2:40" s="123" customFormat="1" ht="12.75" customHeight="1" thickBot="1" x14ac:dyDescent="0.25">
      <c r="B35" s="252" t="s">
        <v>39</v>
      </c>
      <c r="C35" s="420">
        <v>0.623</v>
      </c>
      <c r="D35" s="423"/>
      <c r="E35" s="418"/>
      <c r="F35" s="424" t="e">
        <f t="shared" si="13"/>
        <v>#DIV/0!</v>
      </c>
      <c r="G35" s="425"/>
      <c r="H35" s="425"/>
      <c r="I35" s="424" t="e">
        <f t="shared" si="14"/>
        <v>#DIV/0!</v>
      </c>
      <c r="J35" s="418"/>
      <c r="K35" s="418"/>
      <c r="L35" s="424" t="e">
        <f t="shared" si="15"/>
        <v>#DIV/0!</v>
      </c>
      <c r="M35" s="418">
        <v>25</v>
      </c>
      <c r="N35" s="418">
        <v>51</v>
      </c>
      <c r="O35" s="419">
        <f t="shared" si="16"/>
        <v>49.019607843137258</v>
      </c>
      <c r="P35" s="418">
        <v>27</v>
      </c>
      <c r="Q35" s="418">
        <v>56</v>
      </c>
      <c r="R35" s="419">
        <f t="shared" si="17"/>
        <v>48.214285714285715</v>
      </c>
      <c r="S35" s="409"/>
      <c r="T35" s="409"/>
      <c r="U35" s="412" t="e">
        <f t="shared" si="18"/>
        <v>#DIV/0!</v>
      </c>
      <c r="V35" s="409">
        <v>37</v>
      </c>
      <c r="W35" s="409">
        <v>69</v>
      </c>
      <c r="X35" s="413">
        <f t="shared" si="19"/>
        <v>53.623188405797102</v>
      </c>
      <c r="Y35" s="409">
        <v>42</v>
      </c>
      <c r="Z35" s="409">
        <v>79</v>
      </c>
      <c r="AA35" s="413">
        <f t="shared" si="20"/>
        <v>53.164556962025316</v>
      </c>
      <c r="AB35" s="409" t="s">
        <v>259</v>
      </c>
      <c r="AC35" s="409"/>
      <c r="AD35" s="413" t="e">
        <f t="shared" si="21"/>
        <v>#VALUE!</v>
      </c>
      <c r="AE35" s="409"/>
      <c r="AF35" s="409"/>
      <c r="AG35" s="413" t="e">
        <f t="shared" si="22"/>
        <v>#DIV/0!</v>
      </c>
      <c r="AH35" s="409">
        <v>58</v>
      </c>
      <c r="AI35" s="409">
        <v>107</v>
      </c>
      <c r="AJ35" s="410">
        <f t="shared" si="23"/>
        <v>54.205607476635514</v>
      </c>
      <c r="AK35" s="250">
        <v>0.623</v>
      </c>
      <c r="AL35" s="395">
        <v>55.2</v>
      </c>
      <c r="AM35" s="323">
        <f>+AJ35+(AJ35*0.015)</f>
        <v>55.018691588785046</v>
      </c>
      <c r="AN35" s="323">
        <f>+AL35*100/AJ35</f>
        <v>101.83448275862069</v>
      </c>
    </row>
    <row r="36" spans="2:40" s="123" customFormat="1" ht="15" customHeight="1" thickBot="1" x14ac:dyDescent="0.25">
      <c r="B36" s="360" t="s">
        <v>262</v>
      </c>
      <c r="C36" s="357"/>
      <c r="D36" s="357"/>
      <c r="E36" s="357"/>
      <c r="F36" s="357"/>
      <c r="G36" s="357"/>
      <c r="H36" s="357"/>
      <c r="I36" s="357"/>
      <c r="J36" s="357"/>
      <c r="K36" s="357"/>
      <c r="L36" s="357"/>
      <c r="M36" s="357"/>
      <c r="N36" s="357"/>
      <c r="O36" s="357"/>
      <c r="P36" s="357"/>
      <c r="Q36" s="357"/>
      <c r="R36" s="357"/>
      <c r="S36" s="357"/>
      <c r="T36" s="357"/>
      <c r="U36" s="357"/>
      <c r="V36" s="357"/>
      <c r="W36" s="357"/>
      <c r="X36" s="357"/>
      <c r="Y36" s="357"/>
      <c r="Z36" s="357"/>
      <c r="AA36" s="357"/>
      <c r="AB36" s="357"/>
      <c r="AC36" s="357"/>
      <c r="AD36" s="357"/>
      <c r="AE36" s="357"/>
      <c r="AF36" s="357"/>
      <c r="AG36" s="357"/>
      <c r="AH36" s="357"/>
      <c r="AI36" s="357"/>
      <c r="AJ36" s="358"/>
      <c r="AK36" s="358"/>
      <c r="AL36" s="358"/>
    </row>
  </sheetData>
  <mergeCells count="12">
    <mergeCell ref="AP10:AU17"/>
    <mergeCell ref="AH1:AL1"/>
    <mergeCell ref="D1:F1"/>
    <mergeCell ref="G1:I1"/>
    <mergeCell ref="J1:L1"/>
    <mergeCell ref="M1:O1"/>
    <mergeCell ref="P1:R1"/>
    <mergeCell ref="S1:U1"/>
    <mergeCell ref="V1:X1"/>
    <mergeCell ref="Y1:AA1"/>
    <mergeCell ref="AB1:AD1"/>
    <mergeCell ref="AE1:AG1"/>
  </mergeCell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C7CB9-9368-4679-A28E-4D6FF04F7897}">
  <sheetPr>
    <tabColor rgb="FFFFFF00"/>
  </sheetPr>
  <dimension ref="DR2:EJ40"/>
  <sheetViews>
    <sheetView topLeftCell="DQ1" zoomScale="90" zoomScaleNormal="90" workbookViewId="0">
      <selection activeCell="EH9" sqref="EH9"/>
    </sheetView>
  </sheetViews>
  <sheetFormatPr baseColWidth="10" defaultRowHeight="15" outlineLevelCol="1" x14ac:dyDescent="0.25"/>
  <cols>
    <col min="1" max="120" width="0" hidden="1" customWidth="1"/>
    <col min="121" max="121" width="3.5703125" customWidth="1"/>
    <col min="122" max="122" width="31.85546875" customWidth="1"/>
    <col min="123" max="132" width="11.42578125" hidden="1" customWidth="1" outlineLevel="1"/>
    <col min="133" max="133" width="13.7109375" customWidth="1" collapsed="1"/>
    <col min="134" max="134" width="15.140625" customWidth="1"/>
    <col min="135" max="135" width="17" customWidth="1"/>
    <col min="136" max="136" width="18.5703125" customWidth="1"/>
    <col min="138" max="138" width="14" customWidth="1"/>
    <col min="139" max="139" width="14.140625" customWidth="1"/>
  </cols>
  <sheetData>
    <row r="2" spans="122:140" x14ac:dyDescent="0.25">
      <c r="DR2" s="724" t="s">
        <v>104</v>
      </c>
      <c r="DS2" s="597" t="s">
        <v>68</v>
      </c>
      <c r="DT2" s="597"/>
      <c r="DU2" s="597"/>
      <c r="DV2" s="597"/>
      <c r="DW2" s="597"/>
      <c r="DX2" s="597"/>
      <c r="DY2" s="597"/>
      <c r="DZ2" s="597"/>
      <c r="EA2" s="597"/>
      <c r="EB2" s="597"/>
      <c r="EC2" s="597"/>
      <c r="ED2" s="597"/>
      <c r="EE2" s="597"/>
      <c r="EF2" s="106" t="s">
        <v>3</v>
      </c>
      <c r="EG2" s="725" t="s">
        <v>134</v>
      </c>
      <c r="EH2" s="725"/>
      <c r="EI2" s="725"/>
      <c r="EJ2" s="725"/>
    </row>
    <row r="3" spans="122:140" ht="45" customHeight="1" x14ac:dyDescent="0.25">
      <c r="DR3" s="724"/>
      <c r="DS3" s="597"/>
      <c r="DT3" s="597"/>
      <c r="DU3" s="597"/>
      <c r="DV3" s="597"/>
      <c r="DW3" s="597"/>
      <c r="DX3" s="597"/>
      <c r="DY3" s="597"/>
      <c r="DZ3" s="597"/>
      <c r="EA3" s="597"/>
      <c r="EB3" s="597"/>
      <c r="EC3" s="597"/>
      <c r="ED3" s="597"/>
      <c r="EE3" s="597"/>
      <c r="EF3" s="107">
        <v>0.6</v>
      </c>
      <c r="EG3" s="597" t="s">
        <v>142</v>
      </c>
      <c r="EH3" s="597"/>
      <c r="EI3" s="597"/>
      <c r="EJ3" s="597"/>
    </row>
    <row r="4" spans="122:140" ht="17.25" customHeight="1" x14ac:dyDescent="0.25">
      <c r="DR4" s="109" t="s">
        <v>1</v>
      </c>
      <c r="DS4" s="597" t="s">
        <v>263</v>
      </c>
      <c r="DT4" s="597"/>
      <c r="DU4" s="597"/>
      <c r="DV4" s="597"/>
      <c r="DW4" s="597"/>
      <c r="DX4" s="597"/>
      <c r="DY4" s="597"/>
      <c r="DZ4" s="597"/>
      <c r="EA4" s="597"/>
      <c r="EB4" s="597"/>
      <c r="EC4" s="597"/>
      <c r="ED4" s="597"/>
      <c r="EE4" s="597"/>
      <c r="EF4" s="597"/>
      <c r="EG4" s="597"/>
      <c r="EH4" s="597"/>
      <c r="EI4" s="597"/>
      <c r="EJ4" s="597"/>
    </row>
    <row r="5" spans="122:140" ht="17.25" customHeight="1" x14ac:dyDescent="0.25">
      <c r="DR5" s="109" t="s">
        <v>2</v>
      </c>
      <c r="DS5" s="597" t="s">
        <v>264</v>
      </c>
      <c r="DT5" s="597"/>
      <c r="DU5" s="597"/>
      <c r="DV5" s="597"/>
      <c r="DW5" s="597"/>
      <c r="DX5" s="597"/>
      <c r="DY5" s="597"/>
      <c r="DZ5" s="597"/>
      <c r="EA5" s="597"/>
      <c r="EB5" s="597"/>
      <c r="EC5" s="597"/>
      <c r="ED5" s="597"/>
      <c r="EE5" s="597"/>
      <c r="EF5" s="597"/>
      <c r="EG5" s="597"/>
      <c r="EH5" s="597"/>
      <c r="EI5" s="597"/>
      <c r="EJ5" s="597"/>
    </row>
    <row r="6" spans="122:140" x14ac:dyDescent="0.25">
      <c r="DR6" s="716" t="s">
        <v>40</v>
      </c>
      <c r="DS6" s="1" t="s">
        <v>41</v>
      </c>
      <c r="DT6" s="718" t="s">
        <v>84</v>
      </c>
      <c r="DU6" s="719"/>
      <c r="DV6" s="720"/>
      <c r="DW6" s="718" t="s">
        <v>85</v>
      </c>
      <c r="DX6" s="719"/>
      <c r="DY6" s="720"/>
      <c r="DZ6" s="718" t="s">
        <v>88</v>
      </c>
      <c r="EA6" s="719"/>
      <c r="EB6" s="720"/>
      <c r="EC6" s="718" t="s">
        <v>143</v>
      </c>
      <c r="ED6" s="719"/>
      <c r="EE6" s="720"/>
      <c r="EF6" s="740" t="s">
        <v>43</v>
      </c>
      <c r="EG6" s="741" t="s">
        <v>97</v>
      </c>
      <c r="EH6" s="698" t="s">
        <v>81</v>
      </c>
      <c r="EI6" s="698" t="s">
        <v>82</v>
      </c>
      <c r="EJ6" s="698" t="s">
        <v>83</v>
      </c>
    </row>
    <row r="7" spans="122:140" x14ac:dyDescent="0.25">
      <c r="DR7" s="717"/>
      <c r="DS7" s="1"/>
      <c r="DT7" s="1" t="s">
        <v>82</v>
      </c>
      <c r="DU7" s="1" t="s">
        <v>83</v>
      </c>
      <c r="DV7" s="1" t="s">
        <v>87</v>
      </c>
      <c r="DW7" s="1" t="s">
        <v>82</v>
      </c>
      <c r="DX7" s="1" t="s">
        <v>83</v>
      </c>
      <c r="DY7" s="1" t="s">
        <v>87</v>
      </c>
      <c r="DZ7" s="1" t="s">
        <v>82</v>
      </c>
      <c r="EA7" s="1" t="s">
        <v>83</v>
      </c>
      <c r="EB7" s="1" t="s">
        <v>87</v>
      </c>
      <c r="EC7" s="58" t="s">
        <v>82</v>
      </c>
      <c r="ED7" s="58" t="s">
        <v>83</v>
      </c>
      <c r="EE7" s="1" t="s">
        <v>87</v>
      </c>
      <c r="EF7" s="717"/>
      <c r="EG7" s="742"/>
      <c r="EH7" s="699"/>
      <c r="EI7" s="699"/>
      <c r="EJ7" s="699"/>
    </row>
    <row r="8" spans="122:140" ht="15.75" x14ac:dyDescent="0.25">
      <c r="DR8" s="79" t="s">
        <v>6</v>
      </c>
      <c r="DS8" s="79" t="s">
        <v>7</v>
      </c>
      <c r="DT8" s="71">
        <v>193</v>
      </c>
      <c r="DU8" s="71">
        <v>311</v>
      </c>
      <c r="DV8" s="82">
        <v>0.62057877813504825</v>
      </c>
      <c r="DW8" s="71">
        <v>94</v>
      </c>
      <c r="DX8" s="71">
        <v>147</v>
      </c>
      <c r="DY8" s="82">
        <v>0.63945578231292521</v>
      </c>
      <c r="DZ8" s="59">
        <v>130</v>
      </c>
      <c r="EA8" s="59">
        <v>195</v>
      </c>
      <c r="EB8" s="84">
        <v>0.66666666666666663</v>
      </c>
      <c r="EC8" s="137">
        <v>165</v>
      </c>
      <c r="ED8" s="135">
        <v>278</v>
      </c>
      <c r="EE8" s="19">
        <f>EC8/ED8</f>
        <v>0.59352517985611508</v>
      </c>
      <c r="EF8" s="13">
        <f t="shared" ref="EF8:EF24" si="0">IF(EE8&lt;$EF$3,$EF$3-EE8,"-")</f>
        <v>6.4748201438848962E-3</v>
      </c>
      <c r="EG8" s="13">
        <f>IFERROR(EF8*0.15,"-")</f>
        <v>9.7122302158273441E-4</v>
      </c>
      <c r="EH8" s="53">
        <f t="shared" ref="EH8:EH24" si="1">IFERROR((EG8+EE8),IF(EE8&gt;=$EF$3,EE8))</f>
        <v>0.59449640287769778</v>
      </c>
      <c r="EI8" s="15">
        <f>EJ8*EH8</f>
        <v>165.26999999999998</v>
      </c>
      <c r="EJ8" s="15">
        <f>ED8</f>
        <v>278</v>
      </c>
    </row>
    <row r="9" spans="122:140" ht="15.75" x14ac:dyDescent="0.25">
      <c r="DR9" s="79" t="s">
        <v>8</v>
      </c>
      <c r="DS9" s="79" t="s">
        <v>7</v>
      </c>
      <c r="DT9" s="71">
        <v>74</v>
      </c>
      <c r="DU9" s="71">
        <v>106</v>
      </c>
      <c r="DV9" s="82">
        <v>0.69811320754716977</v>
      </c>
      <c r="DW9" s="71">
        <v>57</v>
      </c>
      <c r="DX9" s="71">
        <v>73</v>
      </c>
      <c r="DY9" s="82">
        <v>0.78082191780821919</v>
      </c>
      <c r="DZ9" s="59">
        <v>68</v>
      </c>
      <c r="EA9" s="59">
        <v>98</v>
      </c>
      <c r="EB9" s="84">
        <v>0.69387755102040816</v>
      </c>
      <c r="EC9" s="135">
        <v>88</v>
      </c>
      <c r="ED9" s="135">
        <v>127</v>
      </c>
      <c r="EE9" s="19">
        <f t="shared" ref="EE9:EE40" si="2">EC9/ED9</f>
        <v>0.69291338582677164</v>
      </c>
      <c r="EF9" s="13" t="str">
        <f t="shared" si="0"/>
        <v>-</v>
      </c>
      <c r="EG9" s="13" t="str">
        <f t="shared" ref="EG9:EG40" si="3">IFERROR(EF9*0.15,"-")</f>
        <v>-</v>
      </c>
      <c r="EH9" s="140">
        <f t="shared" si="1"/>
        <v>0.69291338582677164</v>
      </c>
      <c r="EI9" s="15">
        <f t="shared" ref="EI9:EI40" si="4">EJ9*EH9</f>
        <v>88</v>
      </c>
      <c r="EJ9" s="15">
        <f t="shared" ref="EJ9:EJ40" si="5">ED9</f>
        <v>127</v>
      </c>
    </row>
    <row r="10" spans="122:140" ht="15.75" x14ac:dyDescent="0.25">
      <c r="DR10" s="79" t="s">
        <v>9</v>
      </c>
      <c r="DS10" s="79" t="s">
        <v>7</v>
      </c>
      <c r="DT10" s="71">
        <v>75</v>
      </c>
      <c r="DU10" s="71">
        <v>95</v>
      </c>
      <c r="DV10" s="82">
        <v>0.78947368421052633</v>
      </c>
      <c r="DW10" s="71">
        <v>42</v>
      </c>
      <c r="DX10" s="71">
        <v>57</v>
      </c>
      <c r="DY10" s="82">
        <v>0.73684210526315785</v>
      </c>
      <c r="DZ10" s="59">
        <v>51</v>
      </c>
      <c r="EA10" s="59">
        <v>73</v>
      </c>
      <c r="EB10" s="84">
        <v>0.69863013698630139</v>
      </c>
      <c r="EC10" s="135">
        <v>93</v>
      </c>
      <c r="ED10" s="135">
        <v>153</v>
      </c>
      <c r="EE10" s="19">
        <f t="shared" si="2"/>
        <v>0.60784313725490191</v>
      </c>
      <c r="EF10" s="13" t="str">
        <f t="shared" si="0"/>
        <v>-</v>
      </c>
      <c r="EG10" s="13" t="str">
        <f t="shared" si="3"/>
        <v>-</v>
      </c>
      <c r="EH10" s="140">
        <f t="shared" si="1"/>
        <v>0.60784313725490191</v>
      </c>
      <c r="EI10" s="15">
        <f t="shared" si="4"/>
        <v>92.999999999999986</v>
      </c>
      <c r="EJ10" s="15">
        <f t="shared" si="5"/>
        <v>153</v>
      </c>
    </row>
    <row r="11" spans="122:140" ht="15.75" x14ac:dyDescent="0.25">
      <c r="DR11" s="79" t="s">
        <v>10</v>
      </c>
      <c r="DS11" s="79" t="s">
        <v>7</v>
      </c>
      <c r="DT11" s="71">
        <v>4</v>
      </c>
      <c r="DU11" s="71">
        <v>7</v>
      </c>
      <c r="DV11" s="82">
        <v>0.5714285714285714</v>
      </c>
      <c r="DW11" s="71">
        <v>11</v>
      </c>
      <c r="DX11" s="71">
        <v>11</v>
      </c>
      <c r="DY11" s="82">
        <v>1</v>
      </c>
      <c r="DZ11" s="59">
        <v>13</v>
      </c>
      <c r="EA11" s="59">
        <v>13</v>
      </c>
      <c r="EB11" s="84">
        <v>1</v>
      </c>
      <c r="EC11" s="136">
        <v>22</v>
      </c>
      <c r="ED11" s="136">
        <v>24</v>
      </c>
      <c r="EE11" s="19">
        <f t="shared" si="2"/>
        <v>0.91666666666666663</v>
      </c>
      <c r="EF11" s="13" t="str">
        <f t="shared" si="0"/>
        <v>-</v>
      </c>
      <c r="EG11" s="13" t="str">
        <f t="shared" si="3"/>
        <v>-</v>
      </c>
      <c r="EH11" s="53">
        <f>IFERROR((EG11+EE11),IF(EE11&gt;=$EF$3,$EF$3))</f>
        <v>0.6</v>
      </c>
      <c r="EI11" s="15">
        <f t="shared" si="4"/>
        <v>14.399999999999999</v>
      </c>
      <c r="EJ11" s="15">
        <f t="shared" si="5"/>
        <v>24</v>
      </c>
    </row>
    <row r="12" spans="122:140" ht="15.75" x14ac:dyDescent="0.25">
      <c r="DR12" s="79" t="s">
        <v>11</v>
      </c>
      <c r="DS12" s="79" t="s">
        <v>7</v>
      </c>
      <c r="DT12" s="71">
        <v>90</v>
      </c>
      <c r="DU12" s="71">
        <v>163</v>
      </c>
      <c r="DV12" s="82">
        <v>0.55214723926380371</v>
      </c>
      <c r="DW12" s="71">
        <v>45</v>
      </c>
      <c r="DX12" s="71">
        <v>72</v>
      </c>
      <c r="DY12" s="82">
        <v>0.625</v>
      </c>
      <c r="DZ12" s="59">
        <v>57</v>
      </c>
      <c r="EA12" s="59">
        <v>91</v>
      </c>
      <c r="EB12" s="84">
        <v>0.62637362637362637</v>
      </c>
      <c r="EC12" s="135">
        <v>95</v>
      </c>
      <c r="ED12" s="135">
        <v>158</v>
      </c>
      <c r="EE12" s="19">
        <f t="shared" si="2"/>
        <v>0.60126582278481011</v>
      </c>
      <c r="EF12" s="13" t="str">
        <f t="shared" si="0"/>
        <v>-</v>
      </c>
      <c r="EG12" s="13" t="str">
        <f t="shared" si="3"/>
        <v>-</v>
      </c>
      <c r="EH12" s="53">
        <f t="shared" si="1"/>
        <v>0.60126582278481011</v>
      </c>
      <c r="EI12" s="15">
        <f t="shared" si="4"/>
        <v>95</v>
      </c>
      <c r="EJ12" s="15">
        <f t="shared" si="5"/>
        <v>158</v>
      </c>
    </row>
    <row r="13" spans="122:140" ht="15.75" x14ac:dyDescent="0.25">
      <c r="DR13" s="79" t="s">
        <v>12</v>
      </c>
      <c r="DS13" s="79" t="s">
        <v>7</v>
      </c>
      <c r="DT13" s="71">
        <v>100</v>
      </c>
      <c r="DU13" s="71">
        <v>157</v>
      </c>
      <c r="DV13" s="82">
        <v>0.63694267515923564</v>
      </c>
      <c r="DW13" s="71">
        <v>54</v>
      </c>
      <c r="DX13" s="71">
        <v>80</v>
      </c>
      <c r="DY13" s="82">
        <v>0.67500000000000004</v>
      </c>
      <c r="DZ13" s="59">
        <v>81</v>
      </c>
      <c r="EA13" s="59">
        <v>113</v>
      </c>
      <c r="EB13" s="84">
        <v>0.7168141592920354</v>
      </c>
      <c r="EC13" s="135">
        <v>87</v>
      </c>
      <c r="ED13" s="135">
        <v>147</v>
      </c>
      <c r="EE13" s="19">
        <f t="shared" si="2"/>
        <v>0.59183673469387754</v>
      </c>
      <c r="EF13" s="13">
        <f t="shared" si="0"/>
        <v>8.1632653061224358E-3</v>
      </c>
      <c r="EG13" s="13">
        <f t="shared" si="3"/>
        <v>1.2244897959183653E-3</v>
      </c>
      <c r="EH13" s="53">
        <f t="shared" si="1"/>
        <v>0.59306122448979592</v>
      </c>
      <c r="EI13" s="15">
        <f t="shared" si="4"/>
        <v>87.18</v>
      </c>
      <c r="EJ13" s="15">
        <f t="shared" si="5"/>
        <v>147</v>
      </c>
    </row>
    <row r="14" spans="122:140" ht="15.75" x14ac:dyDescent="0.25">
      <c r="DR14" s="79" t="s">
        <v>13</v>
      </c>
      <c r="DS14" s="79" t="s">
        <v>7</v>
      </c>
      <c r="DT14" s="71">
        <v>99</v>
      </c>
      <c r="DU14" s="71">
        <v>151</v>
      </c>
      <c r="DV14" s="82">
        <v>0.6556291390728477</v>
      </c>
      <c r="DW14" s="71">
        <v>52</v>
      </c>
      <c r="DX14" s="71">
        <v>72</v>
      </c>
      <c r="DY14" s="82">
        <v>0.72222222222222221</v>
      </c>
      <c r="DZ14" s="59">
        <v>63</v>
      </c>
      <c r="EA14" s="59">
        <v>88</v>
      </c>
      <c r="EB14" s="84">
        <v>0.71590909090909094</v>
      </c>
      <c r="EC14" s="135">
        <v>103</v>
      </c>
      <c r="ED14" s="135">
        <v>154</v>
      </c>
      <c r="EE14" s="19">
        <f t="shared" si="2"/>
        <v>0.66883116883116878</v>
      </c>
      <c r="EF14" s="13" t="str">
        <f t="shared" si="0"/>
        <v>-</v>
      </c>
      <c r="EG14" s="13" t="str">
        <f t="shared" si="3"/>
        <v>-</v>
      </c>
      <c r="EH14" s="140">
        <f t="shared" si="1"/>
        <v>0.66883116883116878</v>
      </c>
      <c r="EI14" s="15">
        <f t="shared" si="4"/>
        <v>102.99999999999999</v>
      </c>
      <c r="EJ14" s="15">
        <f t="shared" si="5"/>
        <v>154</v>
      </c>
    </row>
    <row r="15" spans="122:140" ht="15.75" x14ac:dyDescent="0.25">
      <c r="DR15" s="79" t="s">
        <v>14</v>
      </c>
      <c r="DS15" s="79" t="s">
        <v>7</v>
      </c>
      <c r="DT15" s="71">
        <v>39</v>
      </c>
      <c r="DU15" s="71">
        <v>87</v>
      </c>
      <c r="DV15" s="82">
        <v>0.44827586206896552</v>
      </c>
      <c r="DW15" s="71">
        <v>26</v>
      </c>
      <c r="DX15" s="71">
        <v>48</v>
      </c>
      <c r="DY15" s="82">
        <v>0.54166666666666663</v>
      </c>
      <c r="DZ15" s="59">
        <v>32</v>
      </c>
      <c r="EA15" s="59">
        <v>63</v>
      </c>
      <c r="EB15" s="84">
        <v>0.50793650793650791</v>
      </c>
      <c r="EC15" s="135">
        <v>63</v>
      </c>
      <c r="ED15" s="135">
        <v>114</v>
      </c>
      <c r="EE15" s="19">
        <f t="shared" si="2"/>
        <v>0.55263157894736847</v>
      </c>
      <c r="EF15" s="13">
        <f t="shared" si="0"/>
        <v>4.7368421052631504E-2</v>
      </c>
      <c r="EG15" s="13">
        <f t="shared" si="3"/>
        <v>7.1052631578947256E-3</v>
      </c>
      <c r="EH15" s="140">
        <f t="shared" si="1"/>
        <v>0.5597368421052632</v>
      </c>
      <c r="EI15" s="15">
        <f t="shared" si="4"/>
        <v>63.81</v>
      </c>
      <c r="EJ15" s="15">
        <f t="shared" si="5"/>
        <v>114</v>
      </c>
    </row>
    <row r="16" spans="122:140" ht="15.75" x14ac:dyDescent="0.25">
      <c r="DR16" s="79" t="s">
        <v>15</v>
      </c>
      <c r="DS16" s="79" t="s">
        <v>7</v>
      </c>
      <c r="DT16" s="71">
        <v>22</v>
      </c>
      <c r="DU16" s="71">
        <v>24</v>
      </c>
      <c r="DV16" s="82">
        <v>0.91666666666666663</v>
      </c>
      <c r="DW16" s="71">
        <v>5</v>
      </c>
      <c r="DX16" s="71">
        <v>5</v>
      </c>
      <c r="DY16" s="82">
        <v>1</v>
      </c>
      <c r="DZ16" s="59">
        <v>6</v>
      </c>
      <c r="EA16" s="59">
        <v>6</v>
      </c>
      <c r="EB16" s="84">
        <v>1</v>
      </c>
      <c r="EC16" s="135">
        <v>7</v>
      </c>
      <c r="ED16" s="135">
        <v>9</v>
      </c>
      <c r="EE16" s="19">
        <f t="shared" si="2"/>
        <v>0.77777777777777779</v>
      </c>
      <c r="EF16" s="13" t="str">
        <f t="shared" si="0"/>
        <v>-</v>
      </c>
      <c r="EG16" s="13" t="str">
        <f t="shared" si="3"/>
        <v>-</v>
      </c>
      <c r="EH16" s="53">
        <f>IFERROR((EG16+EE16),IF(EE16&gt;=$EF$3,$EF$3))</f>
        <v>0.6</v>
      </c>
      <c r="EI16" s="15">
        <f t="shared" si="4"/>
        <v>5.3999999999999995</v>
      </c>
      <c r="EJ16" s="15">
        <f t="shared" si="5"/>
        <v>9</v>
      </c>
    </row>
    <row r="17" spans="122:140" ht="15.75" x14ac:dyDescent="0.25">
      <c r="DR17" s="79" t="s">
        <v>16</v>
      </c>
      <c r="DS17" s="79" t="s">
        <v>7</v>
      </c>
      <c r="DT17" s="71">
        <v>35</v>
      </c>
      <c r="DU17" s="71">
        <v>53</v>
      </c>
      <c r="DV17" s="82">
        <v>0.660377358490566</v>
      </c>
      <c r="DW17" s="71">
        <v>25</v>
      </c>
      <c r="DX17" s="71">
        <v>26</v>
      </c>
      <c r="DY17" s="82">
        <v>0.96153846153846156</v>
      </c>
      <c r="DZ17" s="59">
        <v>29</v>
      </c>
      <c r="EA17" s="59">
        <v>32</v>
      </c>
      <c r="EB17" s="84">
        <v>0.90625</v>
      </c>
      <c r="EC17" s="135">
        <v>34</v>
      </c>
      <c r="ED17" s="135">
        <v>42</v>
      </c>
      <c r="EE17" s="19">
        <f t="shared" si="2"/>
        <v>0.80952380952380953</v>
      </c>
      <c r="EF17" s="13" t="str">
        <f t="shared" si="0"/>
        <v>-</v>
      </c>
      <c r="EG17" s="13" t="str">
        <f t="shared" si="3"/>
        <v>-</v>
      </c>
      <c r="EH17" s="53">
        <f t="shared" si="1"/>
        <v>0.80952380952380953</v>
      </c>
      <c r="EI17" s="15">
        <f t="shared" si="4"/>
        <v>34</v>
      </c>
      <c r="EJ17" s="15">
        <f t="shared" si="5"/>
        <v>42</v>
      </c>
    </row>
    <row r="18" spans="122:140" ht="15.75" x14ac:dyDescent="0.25">
      <c r="DR18" s="79" t="s">
        <v>17</v>
      </c>
      <c r="DS18" s="79" t="s">
        <v>7</v>
      </c>
      <c r="DT18" s="71">
        <v>54</v>
      </c>
      <c r="DU18" s="71">
        <v>72</v>
      </c>
      <c r="DV18" s="82">
        <v>0.75</v>
      </c>
      <c r="DW18" s="71">
        <v>23</v>
      </c>
      <c r="DX18" s="71">
        <v>30</v>
      </c>
      <c r="DY18" s="82">
        <v>0.76666666666666672</v>
      </c>
      <c r="DZ18" s="59">
        <v>35</v>
      </c>
      <c r="EA18" s="59">
        <v>43</v>
      </c>
      <c r="EB18" s="84">
        <v>0.81395348837209303</v>
      </c>
      <c r="EC18" s="135">
        <v>53</v>
      </c>
      <c r="ED18" s="135">
        <v>112</v>
      </c>
      <c r="EE18" s="19">
        <f t="shared" si="2"/>
        <v>0.4732142857142857</v>
      </c>
      <c r="EF18" s="13">
        <f t="shared" si="0"/>
        <v>0.12678571428571428</v>
      </c>
      <c r="EG18" s="13">
        <f t="shared" si="3"/>
        <v>1.9017857142857142E-2</v>
      </c>
      <c r="EH18" s="53">
        <f t="shared" si="1"/>
        <v>0.49223214285714284</v>
      </c>
      <c r="EI18" s="15">
        <f t="shared" si="4"/>
        <v>55.129999999999995</v>
      </c>
      <c r="EJ18" s="15">
        <f t="shared" si="5"/>
        <v>112</v>
      </c>
    </row>
    <row r="19" spans="122:140" ht="15.75" x14ac:dyDescent="0.25">
      <c r="DR19" s="79" t="s">
        <v>18</v>
      </c>
      <c r="DS19" s="79" t="s">
        <v>7</v>
      </c>
      <c r="DT19" s="71">
        <v>74</v>
      </c>
      <c r="DU19" s="71">
        <v>135</v>
      </c>
      <c r="DV19" s="82">
        <v>0.54814814814814816</v>
      </c>
      <c r="DW19" s="71">
        <v>46</v>
      </c>
      <c r="DX19" s="71">
        <v>73</v>
      </c>
      <c r="DY19" s="82">
        <v>0.63013698630136983</v>
      </c>
      <c r="DZ19" s="59">
        <v>58</v>
      </c>
      <c r="EA19" s="59">
        <v>95</v>
      </c>
      <c r="EB19" s="84">
        <v>0.61052631578947369</v>
      </c>
      <c r="EC19" s="135">
        <v>54</v>
      </c>
      <c r="ED19" s="135">
        <v>114</v>
      </c>
      <c r="EE19" s="19">
        <f t="shared" si="2"/>
        <v>0.47368421052631576</v>
      </c>
      <c r="EF19" s="13">
        <f t="shared" si="0"/>
        <v>0.12631578947368421</v>
      </c>
      <c r="EG19" s="13">
        <f t="shared" si="3"/>
        <v>1.8947368421052633E-2</v>
      </c>
      <c r="EH19" s="53">
        <f t="shared" si="1"/>
        <v>0.49263157894736842</v>
      </c>
      <c r="EI19" s="15">
        <f t="shared" si="4"/>
        <v>56.16</v>
      </c>
      <c r="EJ19" s="15">
        <f t="shared" si="5"/>
        <v>114</v>
      </c>
    </row>
    <row r="20" spans="122:140" ht="15.75" x14ac:dyDescent="0.25">
      <c r="DR20" s="79" t="s">
        <v>19</v>
      </c>
      <c r="DS20" s="79" t="s">
        <v>7</v>
      </c>
      <c r="DT20" s="71">
        <v>29</v>
      </c>
      <c r="DU20" s="71">
        <v>42</v>
      </c>
      <c r="DV20" s="82">
        <v>0.69047619047619047</v>
      </c>
      <c r="DW20" s="71">
        <v>12</v>
      </c>
      <c r="DX20" s="71">
        <v>16</v>
      </c>
      <c r="DY20" s="82">
        <v>0.75</v>
      </c>
      <c r="DZ20" s="59">
        <v>16</v>
      </c>
      <c r="EA20" s="59">
        <v>22</v>
      </c>
      <c r="EB20" s="84">
        <v>0.72727272727272729</v>
      </c>
      <c r="EC20" s="135">
        <v>27</v>
      </c>
      <c r="ED20" s="135">
        <v>38</v>
      </c>
      <c r="EE20" s="19">
        <f t="shared" si="2"/>
        <v>0.71052631578947367</v>
      </c>
      <c r="EF20" s="13" t="str">
        <f t="shared" si="0"/>
        <v>-</v>
      </c>
      <c r="EG20" s="13" t="str">
        <f t="shared" si="3"/>
        <v>-</v>
      </c>
      <c r="EH20" s="140">
        <f t="shared" si="1"/>
        <v>0.71052631578947367</v>
      </c>
      <c r="EI20" s="15">
        <f t="shared" si="4"/>
        <v>27</v>
      </c>
      <c r="EJ20" s="15">
        <f t="shared" si="5"/>
        <v>38</v>
      </c>
    </row>
    <row r="21" spans="122:140" ht="15.75" x14ac:dyDescent="0.25">
      <c r="DR21" s="79" t="s">
        <v>20</v>
      </c>
      <c r="DS21" s="79" t="s">
        <v>7</v>
      </c>
      <c r="DT21" s="71">
        <v>27</v>
      </c>
      <c r="DU21" s="71">
        <v>33</v>
      </c>
      <c r="DV21" s="82">
        <v>0.81818181818181823</v>
      </c>
      <c r="DW21" s="71">
        <v>12</v>
      </c>
      <c r="DX21" s="71">
        <v>16</v>
      </c>
      <c r="DY21" s="82">
        <v>0.75</v>
      </c>
      <c r="DZ21" s="59">
        <v>19</v>
      </c>
      <c r="EA21" s="59">
        <v>23</v>
      </c>
      <c r="EB21" s="84">
        <v>0.82608695652173914</v>
      </c>
      <c r="EC21" s="135">
        <v>20</v>
      </c>
      <c r="ED21" s="135">
        <v>29</v>
      </c>
      <c r="EE21" s="19">
        <f t="shared" si="2"/>
        <v>0.68965517241379315</v>
      </c>
      <c r="EF21" s="13" t="str">
        <f t="shared" si="0"/>
        <v>-</v>
      </c>
      <c r="EG21" s="13" t="str">
        <f t="shared" si="3"/>
        <v>-</v>
      </c>
      <c r="EH21" s="140">
        <f t="shared" si="1"/>
        <v>0.68965517241379315</v>
      </c>
      <c r="EI21" s="15">
        <f t="shared" si="4"/>
        <v>20</v>
      </c>
      <c r="EJ21" s="15">
        <f t="shared" si="5"/>
        <v>29</v>
      </c>
    </row>
    <row r="22" spans="122:140" ht="15.75" x14ac:dyDescent="0.25">
      <c r="DR22" s="79" t="s">
        <v>21</v>
      </c>
      <c r="DS22" s="79" t="s">
        <v>7</v>
      </c>
      <c r="DT22" s="71">
        <v>15</v>
      </c>
      <c r="DU22" s="71">
        <v>23</v>
      </c>
      <c r="DV22" s="82">
        <v>0.65217391304347827</v>
      </c>
      <c r="DW22" s="71">
        <v>17</v>
      </c>
      <c r="DX22" s="71">
        <v>18</v>
      </c>
      <c r="DY22" s="82">
        <v>0.94444444444444442</v>
      </c>
      <c r="DZ22" s="59">
        <v>25</v>
      </c>
      <c r="EA22" s="59">
        <v>27</v>
      </c>
      <c r="EB22" s="84">
        <v>0.92592592592592593</v>
      </c>
      <c r="EC22" s="135">
        <v>27</v>
      </c>
      <c r="ED22" s="135">
        <v>37</v>
      </c>
      <c r="EE22" s="19">
        <f t="shared" si="2"/>
        <v>0.72972972972972971</v>
      </c>
      <c r="EF22" s="13" t="str">
        <f t="shared" si="0"/>
        <v>-</v>
      </c>
      <c r="EG22" s="13" t="str">
        <f t="shared" si="3"/>
        <v>-</v>
      </c>
      <c r="EH22" s="140">
        <f t="shared" si="1"/>
        <v>0.72972972972972971</v>
      </c>
      <c r="EI22" s="15">
        <f t="shared" si="4"/>
        <v>27</v>
      </c>
      <c r="EJ22" s="15">
        <f t="shared" si="5"/>
        <v>37</v>
      </c>
    </row>
    <row r="23" spans="122:140" ht="15.75" x14ac:dyDescent="0.25">
      <c r="DR23" s="79" t="s">
        <v>22</v>
      </c>
      <c r="DS23" s="79" t="s">
        <v>7</v>
      </c>
      <c r="DT23" s="71">
        <v>2</v>
      </c>
      <c r="DU23" s="71">
        <v>6</v>
      </c>
      <c r="DV23" s="82">
        <v>0.33333333333333331</v>
      </c>
      <c r="DW23" s="71">
        <v>1</v>
      </c>
      <c r="DX23" s="71">
        <v>7</v>
      </c>
      <c r="DY23" s="82">
        <v>0.14285714285714285</v>
      </c>
      <c r="DZ23" s="59">
        <v>1</v>
      </c>
      <c r="EA23" s="59">
        <v>7</v>
      </c>
      <c r="EB23" s="84">
        <v>0.14285714285714285</v>
      </c>
      <c r="EC23" s="135">
        <v>9</v>
      </c>
      <c r="ED23" s="135">
        <v>16</v>
      </c>
      <c r="EE23" s="19">
        <f t="shared" si="2"/>
        <v>0.5625</v>
      </c>
      <c r="EF23" s="13">
        <f t="shared" si="0"/>
        <v>3.7499999999999978E-2</v>
      </c>
      <c r="EG23" s="13">
        <f t="shared" si="3"/>
        <v>5.6249999999999963E-3</v>
      </c>
      <c r="EH23" s="53">
        <f t="shared" si="1"/>
        <v>0.56812499999999999</v>
      </c>
      <c r="EI23" s="15">
        <f t="shared" si="4"/>
        <v>9.09</v>
      </c>
      <c r="EJ23" s="15">
        <f t="shared" si="5"/>
        <v>16</v>
      </c>
    </row>
    <row r="24" spans="122:140" ht="15.75" x14ac:dyDescent="0.25">
      <c r="DR24" s="79" t="s">
        <v>23</v>
      </c>
      <c r="DS24" s="79" t="s">
        <v>7</v>
      </c>
      <c r="DT24" s="71">
        <v>50</v>
      </c>
      <c r="DU24" s="71">
        <v>70</v>
      </c>
      <c r="DV24" s="82">
        <v>0.7142857142857143</v>
      </c>
      <c r="DW24" s="71">
        <v>28</v>
      </c>
      <c r="DX24" s="71">
        <v>42</v>
      </c>
      <c r="DY24" s="82">
        <v>0.66666666666666663</v>
      </c>
      <c r="DZ24" s="59">
        <v>35</v>
      </c>
      <c r="EA24" s="59">
        <v>55</v>
      </c>
      <c r="EB24" s="84">
        <v>0.63636363636363635</v>
      </c>
      <c r="EC24" s="135">
        <v>50</v>
      </c>
      <c r="ED24" s="135">
        <v>87</v>
      </c>
      <c r="EE24" s="19">
        <f t="shared" si="2"/>
        <v>0.57471264367816088</v>
      </c>
      <c r="EF24" s="13">
        <f t="shared" si="0"/>
        <v>2.5287356321839094E-2</v>
      </c>
      <c r="EG24" s="13">
        <f t="shared" si="3"/>
        <v>3.7931034482758638E-3</v>
      </c>
      <c r="EH24" s="53">
        <f t="shared" si="1"/>
        <v>0.57850574712643676</v>
      </c>
      <c r="EI24" s="15">
        <f t="shared" si="4"/>
        <v>50.33</v>
      </c>
      <c r="EJ24" s="15">
        <f t="shared" si="5"/>
        <v>87</v>
      </c>
    </row>
    <row r="25" spans="122:140" ht="15.75" x14ac:dyDescent="0.25">
      <c r="DR25" s="80"/>
      <c r="DS25" s="90" t="s">
        <v>7</v>
      </c>
      <c r="DT25" s="73">
        <v>982</v>
      </c>
      <c r="DU25" s="73">
        <v>1535</v>
      </c>
      <c r="DV25" s="85">
        <v>0.6397394136807818</v>
      </c>
      <c r="DW25" s="73">
        <v>550</v>
      </c>
      <c r="DX25" s="73">
        <v>793</v>
      </c>
      <c r="DY25" s="85">
        <v>0.69356872635561162</v>
      </c>
      <c r="DZ25" s="61">
        <v>719</v>
      </c>
      <c r="EA25" s="61">
        <v>1044</v>
      </c>
      <c r="EB25" s="87">
        <v>0.68869731800766287</v>
      </c>
      <c r="EC25" s="138"/>
      <c r="ED25" s="138"/>
      <c r="EE25" s="23"/>
      <c r="EF25" s="28"/>
      <c r="EG25" s="28"/>
      <c r="EH25" s="113"/>
      <c r="EI25" s="28"/>
      <c r="EJ25" s="26"/>
    </row>
    <row r="26" spans="122:140" ht="15.75" x14ac:dyDescent="0.25">
      <c r="DR26" s="79" t="s">
        <v>24</v>
      </c>
      <c r="DS26" s="79" t="s">
        <v>25</v>
      </c>
      <c r="DT26" s="71">
        <v>28</v>
      </c>
      <c r="DU26" s="71">
        <v>31</v>
      </c>
      <c r="DV26" s="82">
        <v>0.90322580645161288</v>
      </c>
      <c r="DW26" s="71">
        <v>14</v>
      </c>
      <c r="DX26" s="71">
        <v>21</v>
      </c>
      <c r="DY26" s="82">
        <v>0.66666666666666663</v>
      </c>
      <c r="DZ26" s="59">
        <v>18</v>
      </c>
      <c r="EA26" s="59">
        <v>25</v>
      </c>
      <c r="EB26" s="84">
        <v>0.72</v>
      </c>
      <c r="EC26" s="135">
        <v>18</v>
      </c>
      <c r="ED26" s="135">
        <v>21</v>
      </c>
      <c r="EE26" s="19">
        <f t="shared" si="2"/>
        <v>0.8571428571428571</v>
      </c>
      <c r="EF26" s="13" t="str">
        <f t="shared" ref="EF26:EF32" si="6">IF(EE26&lt;$EF$3,$EF$3-EE26,"-")</f>
        <v>-</v>
      </c>
      <c r="EG26" s="13" t="str">
        <f t="shared" si="3"/>
        <v>-</v>
      </c>
      <c r="EH26" s="140">
        <f t="shared" ref="EH26:EH32" si="7">IFERROR((EG26+EE26),IF(EE26&gt;=$EF$3,EE26))</f>
        <v>0.8571428571428571</v>
      </c>
      <c r="EI26" s="15">
        <f t="shared" si="4"/>
        <v>18</v>
      </c>
      <c r="EJ26" s="15">
        <f t="shared" si="5"/>
        <v>21</v>
      </c>
    </row>
    <row r="27" spans="122:140" ht="15.75" x14ac:dyDescent="0.25">
      <c r="DR27" s="79" t="s">
        <v>26</v>
      </c>
      <c r="DS27" s="79" t="s">
        <v>25</v>
      </c>
      <c r="DT27" s="71">
        <v>3</v>
      </c>
      <c r="DU27" s="71">
        <v>3</v>
      </c>
      <c r="DV27" s="82">
        <v>1</v>
      </c>
      <c r="DW27" s="71">
        <v>2</v>
      </c>
      <c r="DX27" s="71">
        <v>2</v>
      </c>
      <c r="DY27" s="82">
        <v>1</v>
      </c>
      <c r="DZ27" s="59">
        <v>2</v>
      </c>
      <c r="EA27" s="59">
        <v>2</v>
      </c>
      <c r="EB27" s="84">
        <v>1</v>
      </c>
      <c r="EC27" s="135">
        <v>3</v>
      </c>
      <c r="ED27" s="135">
        <v>4</v>
      </c>
      <c r="EE27" s="19">
        <f t="shared" si="2"/>
        <v>0.75</v>
      </c>
      <c r="EF27" s="13" t="str">
        <f t="shared" si="6"/>
        <v>-</v>
      </c>
      <c r="EG27" s="13" t="str">
        <f t="shared" si="3"/>
        <v>-</v>
      </c>
      <c r="EH27" s="53">
        <f>IFERROR((EG27+EE27),IF(EE27&gt;=$EF$3,$EF$3))</f>
        <v>0.6</v>
      </c>
      <c r="EI27" s="15">
        <f t="shared" si="4"/>
        <v>2.4</v>
      </c>
      <c r="EJ27" s="15">
        <f t="shared" si="5"/>
        <v>4</v>
      </c>
    </row>
    <row r="28" spans="122:140" ht="15.75" x14ac:dyDescent="0.25">
      <c r="DR28" s="79" t="s">
        <v>27</v>
      </c>
      <c r="DS28" s="79" t="s">
        <v>25</v>
      </c>
      <c r="DT28" s="71">
        <v>12</v>
      </c>
      <c r="DU28" s="71">
        <v>16</v>
      </c>
      <c r="DV28" s="82">
        <v>0.75</v>
      </c>
      <c r="DW28" s="71">
        <v>5</v>
      </c>
      <c r="DX28" s="71">
        <v>6</v>
      </c>
      <c r="DY28" s="82">
        <v>0.83333333333333337</v>
      </c>
      <c r="DZ28" s="59">
        <v>5</v>
      </c>
      <c r="EA28" s="59">
        <v>8</v>
      </c>
      <c r="EB28" s="84">
        <v>0.625</v>
      </c>
      <c r="EC28" s="135">
        <v>21</v>
      </c>
      <c r="ED28" s="135">
        <v>35</v>
      </c>
      <c r="EE28" s="19">
        <f t="shared" si="2"/>
        <v>0.6</v>
      </c>
      <c r="EF28" s="13" t="str">
        <f t="shared" si="6"/>
        <v>-</v>
      </c>
      <c r="EG28" s="13" t="str">
        <f t="shared" si="3"/>
        <v>-</v>
      </c>
      <c r="EH28" s="53">
        <f t="shared" si="7"/>
        <v>0.6</v>
      </c>
      <c r="EI28" s="15">
        <f t="shared" si="4"/>
        <v>21</v>
      </c>
      <c r="EJ28" s="15">
        <f t="shared" si="5"/>
        <v>35</v>
      </c>
    </row>
    <row r="29" spans="122:140" ht="15.75" x14ac:dyDescent="0.25">
      <c r="DR29" s="79" t="s">
        <v>28</v>
      </c>
      <c r="DS29" s="79" t="s">
        <v>25</v>
      </c>
      <c r="DT29" s="71">
        <v>17</v>
      </c>
      <c r="DU29" s="71">
        <v>29</v>
      </c>
      <c r="DV29" s="82">
        <v>0.58620689655172409</v>
      </c>
      <c r="DW29" s="71">
        <v>9</v>
      </c>
      <c r="DX29" s="71">
        <v>14</v>
      </c>
      <c r="DY29" s="82">
        <v>0.6428571428571429</v>
      </c>
      <c r="DZ29" s="59">
        <v>17</v>
      </c>
      <c r="EA29" s="59">
        <v>22</v>
      </c>
      <c r="EB29" s="84">
        <v>0.77272727272727271</v>
      </c>
      <c r="EC29" s="135">
        <v>15</v>
      </c>
      <c r="ED29" s="135">
        <v>20</v>
      </c>
      <c r="EE29" s="19">
        <f t="shared" si="2"/>
        <v>0.75</v>
      </c>
      <c r="EF29" s="13" t="str">
        <f t="shared" si="6"/>
        <v>-</v>
      </c>
      <c r="EG29" s="13" t="str">
        <f t="shared" si="3"/>
        <v>-</v>
      </c>
      <c r="EH29" s="140">
        <f t="shared" si="7"/>
        <v>0.75</v>
      </c>
      <c r="EI29" s="15">
        <f t="shared" si="4"/>
        <v>15</v>
      </c>
      <c r="EJ29" s="15">
        <f t="shared" si="5"/>
        <v>20</v>
      </c>
    </row>
    <row r="30" spans="122:140" ht="15.75" x14ac:dyDescent="0.25">
      <c r="DR30" s="79" t="s">
        <v>29</v>
      </c>
      <c r="DS30" s="79" t="s">
        <v>25</v>
      </c>
      <c r="DT30" s="71">
        <v>0</v>
      </c>
      <c r="DU30" s="71">
        <v>0</v>
      </c>
      <c r="DV30" s="82" t="s">
        <v>73</v>
      </c>
      <c r="DW30" s="71">
        <v>0</v>
      </c>
      <c r="DX30" s="71">
        <v>0</v>
      </c>
      <c r="DY30" s="82" t="s">
        <v>73</v>
      </c>
      <c r="DZ30" s="59">
        <v>0</v>
      </c>
      <c r="EA30" s="59">
        <v>0</v>
      </c>
      <c r="EB30" s="84">
        <v>1</v>
      </c>
      <c r="EC30" s="135"/>
      <c r="ED30" s="135"/>
      <c r="EE30" s="19" t="s">
        <v>74</v>
      </c>
      <c r="EF30" s="13" t="str">
        <f t="shared" si="6"/>
        <v>-</v>
      </c>
      <c r="EG30" s="13" t="str">
        <f t="shared" si="3"/>
        <v>-</v>
      </c>
      <c r="EH30" s="53">
        <v>0.6</v>
      </c>
      <c r="EI30" s="15" t="s">
        <v>74</v>
      </c>
      <c r="EJ30" s="15">
        <f t="shared" si="5"/>
        <v>0</v>
      </c>
    </row>
    <row r="31" spans="122:140" ht="15.75" x14ac:dyDescent="0.25">
      <c r="DR31" s="79" t="s">
        <v>30</v>
      </c>
      <c r="DS31" s="79" t="s">
        <v>25</v>
      </c>
      <c r="DT31" s="71">
        <v>24</v>
      </c>
      <c r="DU31" s="71">
        <v>34</v>
      </c>
      <c r="DV31" s="82">
        <v>0.70588235294117652</v>
      </c>
      <c r="DW31" s="71">
        <v>21</v>
      </c>
      <c r="DX31" s="71">
        <v>23</v>
      </c>
      <c r="DY31" s="82">
        <v>0.91304347826086951</v>
      </c>
      <c r="DZ31" s="59">
        <v>24</v>
      </c>
      <c r="EA31" s="59">
        <v>26</v>
      </c>
      <c r="EB31" s="84">
        <v>0.92307692307692313</v>
      </c>
      <c r="EC31" s="135">
        <v>21</v>
      </c>
      <c r="ED31" s="135">
        <v>23</v>
      </c>
      <c r="EE31" s="19">
        <f t="shared" si="2"/>
        <v>0.91304347826086951</v>
      </c>
      <c r="EF31" s="13" t="str">
        <f t="shared" si="6"/>
        <v>-</v>
      </c>
      <c r="EG31" s="13" t="str">
        <f t="shared" si="3"/>
        <v>-</v>
      </c>
      <c r="EH31" s="140">
        <f t="shared" si="7"/>
        <v>0.91304347826086951</v>
      </c>
      <c r="EI31" s="15">
        <f t="shared" si="4"/>
        <v>21</v>
      </c>
      <c r="EJ31" s="15">
        <f t="shared" si="5"/>
        <v>23</v>
      </c>
    </row>
    <row r="32" spans="122:140" ht="15.75" x14ac:dyDescent="0.25">
      <c r="DR32" s="79" t="s">
        <v>31</v>
      </c>
      <c r="DS32" s="79" t="s">
        <v>25</v>
      </c>
      <c r="DT32" s="71">
        <v>31</v>
      </c>
      <c r="DU32" s="71">
        <v>37</v>
      </c>
      <c r="DV32" s="82">
        <v>0.83783783783783783</v>
      </c>
      <c r="DW32" s="71">
        <v>3</v>
      </c>
      <c r="DX32" s="71">
        <v>10</v>
      </c>
      <c r="DY32" s="82">
        <v>0.3</v>
      </c>
      <c r="DZ32" s="59">
        <v>5</v>
      </c>
      <c r="EA32" s="59">
        <v>16</v>
      </c>
      <c r="EB32" s="84">
        <v>0.3125</v>
      </c>
      <c r="EC32" s="135">
        <v>12</v>
      </c>
      <c r="ED32" s="135">
        <v>31</v>
      </c>
      <c r="EE32" s="19">
        <f t="shared" si="2"/>
        <v>0.38709677419354838</v>
      </c>
      <c r="EF32" s="13">
        <f t="shared" si="6"/>
        <v>0.2129032258064516</v>
      </c>
      <c r="EG32" s="13">
        <f t="shared" si="3"/>
        <v>3.1935483870967736E-2</v>
      </c>
      <c r="EH32" s="53">
        <f t="shared" si="7"/>
        <v>0.41903225806451611</v>
      </c>
      <c r="EI32" s="15">
        <f t="shared" si="4"/>
        <v>12.989999999999998</v>
      </c>
      <c r="EJ32" s="15">
        <f t="shared" si="5"/>
        <v>31</v>
      </c>
    </row>
    <row r="33" spans="122:140" ht="15.75" x14ac:dyDescent="0.25">
      <c r="DR33" s="80"/>
      <c r="DS33" s="90" t="s">
        <v>25</v>
      </c>
      <c r="DT33" s="73">
        <v>115</v>
      </c>
      <c r="DU33" s="73">
        <v>150</v>
      </c>
      <c r="DV33" s="85">
        <v>0.76666666666666672</v>
      </c>
      <c r="DW33" s="73">
        <v>54</v>
      </c>
      <c r="DX33" s="73">
        <v>76</v>
      </c>
      <c r="DY33" s="85">
        <v>0.71052631578947367</v>
      </c>
      <c r="DZ33" s="61">
        <v>71</v>
      </c>
      <c r="EA33" s="61">
        <v>99</v>
      </c>
      <c r="EB33" s="87">
        <v>0.71717171717171713</v>
      </c>
      <c r="EC33" s="138"/>
      <c r="ED33" s="138"/>
      <c r="EE33" s="23"/>
      <c r="EF33" s="28"/>
      <c r="EG33" s="28"/>
      <c r="EH33" s="113"/>
      <c r="EI33" s="28"/>
      <c r="EJ33" s="26">
        <v>99</v>
      </c>
    </row>
    <row r="34" spans="122:140" ht="15.75" x14ac:dyDescent="0.25">
      <c r="DR34" s="79" t="s">
        <v>32</v>
      </c>
      <c r="DS34" s="79" t="s">
        <v>33</v>
      </c>
      <c r="DT34" s="71">
        <v>88</v>
      </c>
      <c r="DU34" s="71">
        <v>130</v>
      </c>
      <c r="DV34" s="82">
        <v>0.67692307692307696</v>
      </c>
      <c r="DW34" s="71">
        <v>30</v>
      </c>
      <c r="DX34" s="71">
        <v>53</v>
      </c>
      <c r="DY34" s="82">
        <v>0.56603773584905659</v>
      </c>
      <c r="DZ34" s="59">
        <v>40</v>
      </c>
      <c r="EA34" s="59">
        <v>77</v>
      </c>
      <c r="EB34" s="84">
        <v>0.51948051948051943</v>
      </c>
      <c r="EC34" s="135">
        <v>94</v>
      </c>
      <c r="ED34" s="135">
        <v>163</v>
      </c>
      <c r="EE34" s="19">
        <f t="shared" si="2"/>
        <v>0.57668711656441718</v>
      </c>
      <c r="EF34" s="13">
        <f t="shared" ref="EF34:EF40" si="8">IF(EE34&lt;$EF$3,$EF$3-EE34,"-")</f>
        <v>2.3312883435582799E-2</v>
      </c>
      <c r="EG34" s="13">
        <f t="shared" si="3"/>
        <v>3.4969325153374198E-3</v>
      </c>
      <c r="EH34" s="53">
        <f t="shared" ref="EH34:EH40" si="9">IFERROR((EG34+EE34),IF(EE34&gt;=$EF$3,EE34))</f>
        <v>0.58018404907975463</v>
      </c>
      <c r="EI34" s="15">
        <f t="shared" si="4"/>
        <v>94.570000000000007</v>
      </c>
      <c r="EJ34" s="15">
        <f t="shared" si="5"/>
        <v>163</v>
      </c>
    </row>
    <row r="35" spans="122:140" ht="15.75" x14ac:dyDescent="0.25">
      <c r="DR35" s="79" t="s">
        <v>34</v>
      </c>
      <c r="DS35" s="79" t="s">
        <v>33</v>
      </c>
      <c r="DT35" s="71">
        <v>11</v>
      </c>
      <c r="DU35" s="71">
        <v>16</v>
      </c>
      <c r="DV35" s="82">
        <v>0.6875</v>
      </c>
      <c r="DW35" s="71">
        <v>12</v>
      </c>
      <c r="DX35" s="71">
        <v>20</v>
      </c>
      <c r="DY35" s="82">
        <v>0.6</v>
      </c>
      <c r="DZ35" s="59">
        <v>17</v>
      </c>
      <c r="EA35" s="59">
        <v>26</v>
      </c>
      <c r="EB35" s="84">
        <v>0.65384615384615385</v>
      </c>
      <c r="EC35" s="135">
        <v>23</v>
      </c>
      <c r="ED35" s="135">
        <v>32</v>
      </c>
      <c r="EE35" s="19">
        <f t="shared" si="2"/>
        <v>0.71875</v>
      </c>
      <c r="EF35" s="13" t="str">
        <f t="shared" si="8"/>
        <v>-</v>
      </c>
      <c r="EG35" s="13" t="str">
        <f t="shared" si="3"/>
        <v>-</v>
      </c>
      <c r="EH35" s="140">
        <f t="shared" si="9"/>
        <v>0.71875</v>
      </c>
      <c r="EI35" s="15">
        <f t="shared" si="4"/>
        <v>23</v>
      </c>
      <c r="EJ35" s="15">
        <f t="shared" si="5"/>
        <v>32</v>
      </c>
    </row>
    <row r="36" spans="122:140" ht="15.75" x14ac:dyDescent="0.25">
      <c r="DR36" s="79" t="s">
        <v>35</v>
      </c>
      <c r="DS36" s="79" t="s">
        <v>33</v>
      </c>
      <c r="DT36" s="71">
        <v>39</v>
      </c>
      <c r="DU36" s="71">
        <v>88</v>
      </c>
      <c r="DV36" s="82">
        <v>0.44318181818181818</v>
      </c>
      <c r="DW36" s="71">
        <v>12</v>
      </c>
      <c r="DX36" s="71">
        <v>38</v>
      </c>
      <c r="DY36" s="82">
        <v>0.31578947368421051</v>
      </c>
      <c r="DZ36" s="59">
        <v>20</v>
      </c>
      <c r="EA36" s="59">
        <v>53</v>
      </c>
      <c r="EB36" s="84">
        <v>0.37735849056603776</v>
      </c>
      <c r="EC36" s="135">
        <v>61</v>
      </c>
      <c r="ED36" s="135">
        <v>92</v>
      </c>
      <c r="EE36" s="19">
        <f t="shared" si="2"/>
        <v>0.66304347826086951</v>
      </c>
      <c r="EF36" s="13" t="str">
        <f t="shared" si="8"/>
        <v>-</v>
      </c>
      <c r="EG36" s="13" t="str">
        <f t="shared" si="3"/>
        <v>-</v>
      </c>
      <c r="EH36" s="140">
        <f t="shared" si="9"/>
        <v>0.66304347826086951</v>
      </c>
      <c r="EI36" s="15">
        <f t="shared" si="4"/>
        <v>60.999999999999993</v>
      </c>
      <c r="EJ36" s="15">
        <f t="shared" si="5"/>
        <v>92</v>
      </c>
    </row>
    <row r="37" spans="122:140" ht="15.75" x14ac:dyDescent="0.25">
      <c r="DR37" s="79" t="s">
        <v>36</v>
      </c>
      <c r="DS37" s="79" t="s">
        <v>33</v>
      </c>
      <c r="DT37" s="71">
        <v>61</v>
      </c>
      <c r="DU37" s="71">
        <v>101</v>
      </c>
      <c r="DV37" s="82">
        <v>0.60396039603960394</v>
      </c>
      <c r="DW37" s="71">
        <v>34</v>
      </c>
      <c r="DX37" s="71">
        <v>46</v>
      </c>
      <c r="DY37" s="82">
        <v>0.73913043478260865</v>
      </c>
      <c r="DZ37" s="59">
        <v>55</v>
      </c>
      <c r="EA37" s="59">
        <v>74</v>
      </c>
      <c r="EB37" s="84">
        <v>0.7432432432432432</v>
      </c>
      <c r="EC37" s="135">
        <v>75</v>
      </c>
      <c r="ED37" s="135">
        <v>121</v>
      </c>
      <c r="EE37" s="19">
        <f t="shared" si="2"/>
        <v>0.6198347107438017</v>
      </c>
      <c r="EF37" s="13" t="str">
        <f t="shared" si="8"/>
        <v>-</v>
      </c>
      <c r="EG37" s="13" t="str">
        <f t="shared" si="3"/>
        <v>-</v>
      </c>
      <c r="EH37" s="53">
        <f t="shared" si="9"/>
        <v>0.6198347107438017</v>
      </c>
      <c r="EI37" s="15">
        <f t="shared" si="4"/>
        <v>75</v>
      </c>
      <c r="EJ37" s="15">
        <f t="shared" si="5"/>
        <v>121</v>
      </c>
    </row>
    <row r="38" spans="122:140" ht="15.75" x14ac:dyDescent="0.25">
      <c r="DR38" s="79" t="s">
        <v>37</v>
      </c>
      <c r="DS38" s="79" t="s">
        <v>33</v>
      </c>
      <c r="DT38" s="71">
        <v>54</v>
      </c>
      <c r="DU38" s="71">
        <v>91</v>
      </c>
      <c r="DV38" s="82">
        <v>0.59340659340659341</v>
      </c>
      <c r="DW38" s="71">
        <v>70</v>
      </c>
      <c r="DX38" s="71">
        <v>112</v>
      </c>
      <c r="DY38" s="82">
        <v>0.625</v>
      </c>
      <c r="DZ38" s="59">
        <v>82</v>
      </c>
      <c r="EA38" s="59">
        <v>137</v>
      </c>
      <c r="EB38" s="84">
        <v>0.59854014598540151</v>
      </c>
      <c r="EC38" s="135">
        <v>81</v>
      </c>
      <c r="ED38" s="135">
        <v>173</v>
      </c>
      <c r="EE38" s="19">
        <f t="shared" si="2"/>
        <v>0.46820809248554912</v>
      </c>
      <c r="EF38" s="13">
        <f t="shared" si="8"/>
        <v>0.13179190751445086</v>
      </c>
      <c r="EG38" s="13">
        <f t="shared" si="3"/>
        <v>1.9768786127167627E-2</v>
      </c>
      <c r="EH38" s="53">
        <f t="shared" si="9"/>
        <v>0.48797687861271677</v>
      </c>
      <c r="EI38" s="15">
        <f t="shared" si="4"/>
        <v>84.42</v>
      </c>
      <c r="EJ38" s="15">
        <f t="shared" si="5"/>
        <v>173</v>
      </c>
    </row>
    <row r="39" spans="122:140" ht="15.75" x14ac:dyDescent="0.25">
      <c r="DR39" s="79" t="s">
        <v>38</v>
      </c>
      <c r="DS39" s="79" t="s">
        <v>33</v>
      </c>
      <c r="DT39" s="71">
        <v>17</v>
      </c>
      <c r="DU39" s="71">
        <v>21</v>
      </c>
      <c r="DV39" s="82">
        <v>0.80952380952380953</v>
      </c>
      <c r="DW39" s="71">
        <v>19</v>
      </c>
      <c r="DX39" s="71">
        <v>22</v>
      </c>
      <c r="DY39" s="82">
        <v>0.86363636363636365</v>
      </c>
      <c r="DZ39" s="59">
        <v>20</v>
      </c>
      <c r="EA39" s="59">
        <v>23</v>
      </c>
      <c r="EB39" s="84">
        <v>0.86956521739130432</v>
      </c>
      <c r="EC39" s="135">
        <v>27</v>
      </c>
      <c r="ED39" s="135">
        <v>30</v>
      </c>
      <c r="EE39" s="19">
        <f t="shared" si="2"/>
        <v>0.9</v>
      </c>
      <c r="EF39" s="13" t="str">
        <f t="shared" si="8"/>
        <v>-</v>
      </c>
      <c r="EG39" s="13" t="str">
        <f t="shared" si="3"/>
        <v>-</v>
      </c>
      <c r="EH39" s="140">
        <f t="shared" si="9"/>
        <v>0.9</v>
      </c>
      <c r="EI39" s="15">
        <f t="shared" si="4"/>
        <v>27</v>
      </c>
      <c r="EJ39" s="15">
        <f t="shared" si="5"/>
        <v>30</v>
      </c>
    </row>
    <row r="40" spans="122:140" ht="15.75" x14ac:dyDescent="0.25">
      <c r="DR40" s="79" t="s">
        <v>39</v>
      </c>
      <c r="DS40" s="79" t="s">
        <v>33</v>
      </c>
      <c r="DT40" s="71">
        <v>83</v>
      </c>
      <c r="DU40" s="71">
        <v>117</v>
      </c>
      <c r="DV40" s="82">
        <v>0.70940170940170943</v>
      </c>
      <c r="DW40" s="71">
        <v>23</v>
      </c>
      <c r="DX40" s="71">
        <v>39</v>
      </c>
      <c r="DY40" s="82">
        <v>0.58974358974358976</v>
      </c>
      <c r="DZ40" s="59">
        <v>34</v>
      </c>
      <c r="EA40" s="59">
        <v>52</v>
      </c>
      <c r="EB40" s="84">
        <v>0.65384615384615385</v>
      </c>
      <c r="EC40" s="135">
        <v>58</v>
      </c>
      <c r="ED40" s="135">
        <v>107</v>
      </c>
      <c r="EE40" s="19">
        <f t="shared" si="2"/>
        <v>0.54205607476635509</v>
      </c>
      <c r="EF40" s="13">
        <f t="shared" si="8"/>
        <v>5.7943925233644888E-2</v>
      </c>
      <c r="EG40" s="13">
        <f t="shared" si="3"/>
        <v>8.6915887850467326E-3</v>
      </c>
      <c r="EH40" s="53">
        <f t="shared" si="9"/>
        <v>0.55074766355140181</v>
      </c>
      <c r="EI40" s="15">
        <f t="shared" si="4"/>
        <v>58.929999999999993</v>
      </c>
      <c r="EJ40" s="15">
        <f t="shared" si="5"/>
        <v>107</v>
      </c>
    </row>
  </sheetData>
  <mergeCells count="16">
    <mergeCell ref="DS5:EJ5"/>
    <mergeCell ref="DR2:DR3"/>
    <mergeCell ref="DS2:EE3"/>
    <mergeCell ref="EG2:EJ2"/>
    <mergeCell ref="EG3:EJ3"/>
    <mergeCell ref="DS4:EJ4"/>
    <mergeCell ref="EG6:EG7"/>
    <mergeCell ref="EH6:EH7"/>
    <mergeCell ref="EI6:EI7"/>
    <mergeCell ref="EJ6:EJ7"/>
    <mergeCell ref="DR6:DR7"/>
    <mergeCell ref="DT6:DV6"/>
    <mergeCell ref="DW6:DY6"/>
    <mergeCell ref="DZ6:EB6"/>
    <mergeCell ref="EC6:EE6"/>
    <mergeCell ref="EF6:EF7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FE604-79A6-4F12-A6A5-5F69422F3A00}">
  <sheetPr>
    <tabColor rgb="FFFFC000"/>
  </sheetPr>
  <dimension ref="A1:ER47"/>
  <sheetViews>
    <sheetView showGridLines="0" zoomScale="90" zoomScaleNormal="90" workbookViewId="0">
      <pane xSplit="3" ySplit="3" topLeftCell="D4" activePane="bottomRight" state="frozen"/>
      <selection pane="topRight" activeCell="C1" sqref="C1"/>
      <selection pane="bottomLeft" activeCell="A6" sqref="A6"/>
      <selection pane="bottomRight" activeCell="EW22" sqref="EW22"/>
    </sheetView>
  </sheetViews>
  <sheetFormatPr baseColWidth="10" defaultColWidth="11.42578125" defaultRowHeight="11.25" outlineLevelRow="2" outlineLevelCol="1" x14ac:dyDescent="0.2"/>
  <cols>
    <col min="1" max="1" width="1.7109375" style="216" customWidth="1"/>
    <col min="2" max="2" width="29.5703125" style="139" customWidth="1"/>
    <col min="3" max="3" width="10.85546875" style="139" customWidth="1"/>
    <col min="4" max="4" width="0.5703125" style="139" customWidth="1"/>
    <col min="5" max="5" width="15" style="139" hidden="1" customWidth="1"/>
    <col min="6" max="6" width="21.140625" style="224" hidden="1" customWidth="1"/>
    <col min="7" max="7" width="25.5703125" style="224" hidden="1" customWidth="1"/>
    <col min="8" max="8" width="10.140625" style="224" hidden="1" customWidth="1"/>
    <col min="9" max="9" width="9.7109375" style="224" hidden="1" customWidth="1"/>
    <col min="10" max="10" width="0.28515625" style="225" hidden="1" customWidth="1"/>
    <col min="11" max="11" width="17" style="139" hidden="1" customWidth="1"/>
    <col min="12" max="12" width="16.7109375" style="224" hidden="1" customWidth="1"/>
    <col min="13" max="13" width="16.140625" style="224" hidden="1" customWidth="1"/>
    <col min="14" max="14" width="10.140625" style="224" hidden="1" customWidth="1"/>
    <col min="15" max="15" width="9.7109375" style="224" hidden="1" customWidth="1"/>
    <col min="16" max="16" width="0.85546875" style="225" hidden="1" customWidth="1"/>
    <col min="17" max="17" width="13.28515625" style="139" hidden="1" customWidth="1"/>
    <col min="18" max="18" width="19.140625" style="224" hidden="1" customWidth="1"/>
    <col min="19" max="19" width="16" style="224" hidden="1" customWidth="1"/>
    <col min="20" max="20" width="14" style="224" hidden="1" customWidth="1"/>
    <col min="21" max="21" width="10.7109375" style="224" hidden="1" customWidth="1"/>
    <col min="22" max="22" width="0.42578125" style="225" hidden="1" customWidth="1"/>
    <col min="23" max="23" width="13" style="139" hidden="1" customWidth="1"/>
    <col min="24" max="24" width="13.140625" style="224" hidden="1" customWidth="1"/>
    <col min="25" max="25" width="15.7109375" style="224" hidden="1" customWidth="1"/>
    <col min="26" max="26" width="15.140625" style="224" hidden="1" customWidth="1"/>
    <col min="27" max="27" width="12" style="224" hidden="1" customWidth="1"/>
    <col min="28" max="28" width="12.7109375" style="224" hidden="1" customWidth="1"/>
    <col min="29" max="29" width="0.7109375" style="225" hidden="1" customWidth="1"/>
    <col min="30" max="30" width="13.7109375" style="139" hidden="1" customWidth="1"/>
    <col min="31" max="31" width="22.42578125" style="224" hidden="1" customWidth="1"/>
    <col min="32" max="32" width="19.140625" style="224" hidden="1" customWidth="1"/>
    <col min="33" max="33" width="14.42578125" style="224" hidden="1" customWidth="1"/>
    <col min="34" max="34" width="11.28515625" style="224" hidden="1" customWidth="1"/>
    <col min="35" max="35" width="0.5703125" style="225" hidden="1" customWidth="1"/>
    <col min="36" max="36" width="13.5703125" style="139" hidden="1" customWidth="1"/>
    <col min="37" max="37" width="18.7109375" style="224" hidden="1" customWidth="1"/>
    <col min="38" max="38" width="16.7109375" style="224" hidden="1" customWidth="1"/>
    <col min="39" max="39" width="15.5703125" style="224" hidden="1" customWidth="1"/>
    <col min="40" max="40" width="11" style="224" hidden="1" customWidth="1"/>
    <col min="41" max="41" width="0.85546875" style="225" hidden="1" customWidth="1"/>
    <col min="42" max="42" width="14.85546875" style="139" hidden="1" customWidth="1"/>
    <col min="43" max="43" width="25" style="224" hidden="1" customWidth="1"/>
    <col min="44" max="44" width="21.85546875" style="224" hidden="1" customWidth="1"/>
    <col min="45" max="45" width="14.7109375" style="224" hidden="1" customWidth="1"/>
    <col min="46" max="46" width="12.42578125" style="224" hidden="1" customWidth="1"/>
    <col min="47" max="47" width="0.85546875" style="225" hidden="1" customWidth="1"/>
    <col min="48" max="48" width="12.5703125" style="139" hidden="1" customWidth="1"/>
    <col min="49" max="49" width="18.42578125" style="224" hidden="1" customWidth="1"/>
    <col min="50" max="50" width="18.7109375" style="224" hidden="1" customWidth="1"/>
    <col min="51" max="51" width="17.42578125" style="224" hidden="1" customWidth="1"/>
    <col min="52" max="52" width="12.85546875" style="224" hidden="1" customWidth="1"/>
    <col min="53" max="53" width="0.85546875" style="225" customWidth="1"/>
    <col min="54" max="54" width="12.28515625" style="225" customWidth="1"/>
    <col min="55" max="56" width="12.42578125" style="225" hidden="1" customWidth="1"/>
    <col min="57" max="58" width="12.42578125" style="225" customWidth="1"/>
    <col min="59" max="59" width="1.42578125" style="225" customWidth="1"/>
    <col min="60" max="60" width="12.28515625" style="224" hidden="1" customWidth="1"/>
    <col min="61" max="61" width="13.42578125" style="224" hidden="1" customWidth="1"/>
    <col min="62" max="62" width="12.7109375" style="224" hidden="1" customWidth="1"/>
    <col min="63" max="63" width="14.85546875" style="224" hidden="1" customWidth="1"/>
    <col min="64" max="64" width="14" style="224" hidden="1" customWidth="1"/>
    <col min="65" max="65" width="13.28515625" style="224" hidden="1" customWidth="1"/>
    <col min="66" max="66" width="1.7109375" style="225" hidden="1" customWidth="1"/>
    <col min="67" max="67" width="14.85546875" style="139" hidden="1" customWidth="1"/>
    <col min="68" max="68" width="22.5703125" style="224" hidden="1" customWidth="1"/>
    <col min="69" max="69" width="3.85546875" style="139" hidden="1" customWidth="1" outlineLevel="1"/>
    <col min="70" max="70" width="4.85546875" style="139" hidden="1" customWidth="1" outlineLevel="1"/>
    <col min="71" max="90" width="11.42578125" style="139" hidden="1" customWidth="1" outlineLevel="1"/>
    <col min="91" max="91" width="11.42578125" style="139" hidden="1" customWidth="1" collapsed="1"/>
    <col min="92" max="147" width="0" style="139" hidden="1" customWidth="1" outlineLevel="1"/>
    <col min="148" max="148" width="11.42578125" style="139" collapsed="1"/>
    <col min="149" max="16384" width="11.42578125" style="139"/>
  </cols>
  <sheetData>
    <row r="1" spans="1:147" s="142" customFormat="1" ht="15" customHeight="1" x14ac:dyDescent="0.25">
      <c r="A1" s="141"/>
      <c r="C1" s="142">
        <v>1</v>
      </c>
      <c r="E1" s="142">
        <v>2</v>
      </c>
      <c r="F1" s="142">
        <v>3</v>
      </c>
      <c r="G1" s="142">
        <v>4</v>
      </c>
      <c r="H1" s="142">
        <v>5</v>
      </c>
      <c r="I1" s="142">
        <v>6</v>
      </c>
      <c r="J1" s="143"/>
      <c r="K1" s="142">
        <v>7</v>
      </c>
      <c r="L1" s="142">
        <v>8</v>
      </c>
      <c r="M1" s="142">
        <v>9</v>
      </c>
      <c r="N1" s="142">
        <v>10</v>
      </c>
      <c r="O1" s="142">
        <v>11</v>
      </c>
      <c r="P1" s="143"/>
      <c r="Q1" s="142">
        <v>12</v>
      </c>
      <c r="R1" s="142">
        <v>13</v>
      </c>
      <c r="S1" s="142">
        <v>14</v>
      </c>
      <c r="T1" s="142">
        <v>15</v>
      </c>
      <c r="U1" s="142">
        <v>16</v>
      </c>
      <c r="V1" s="143"/>
      <c r="W1" s="142">
        <v>17</v>
      </c>
      <c r="X1" s="142">
        <v>18</v>
      </c>
      <c r="Y1" s="142">
        <v>19</v>
      </c>
      <c r="Z1" s="142">
        <v>20</v>
      </c>
      <c r="AA1" s="142">
        <v>21</v>
      </c>
      <c r="AB1" s="142">
        <v>27</v>
      </c>
      <c r="AC1" s="143"/>
      <c r="AD1" s="142">
        <v>28</v>
      </c>
      <c r="AE1" s="142">
        <v>29</v>
      </c>
      <c r="AF1" s="142">
        <v>30</v>
      </c>
      <c r="AG1" s="142">
        <v>31</v>
      </c>
      <c r="AH1" s="142">
        <v>32</v>
      </c>
      <c r="AI1" s="143"/>
      <c r="AJ1" s="142">
        <v>33</v>
      </c>
      <c r="AK1" s="142">
        <v>34</v>
      </c>
      <c r="AL1" s="142">
        <v>35</v>
      </c>
      <c r="AM1" s="142">
        <v>36</v>
      </c>
      <c r="AN1" s="142">
        <v>37</v>
      </c>
      <c r="AO1" s="143"/>
      <c r="AP1" s="142">
        <v>38</v>
      </c>
      <c r="AQ1" s="142">
        <v>39</v>
      </c>
      <c r="AR1" s="142">
        <v>40</v>
      </c>
      <c r="AS1" s="142">
        <v>41</v>
      </c>
      <c r="AT1" s="142">
        <v>42</v>
      </c>
      <c r="AU1" s="143"/>
      <c r="AV1" s="142">
        <v>43</v>
      </c>
      <c r="AW1" s="142">
        <v>44</v>
      </c>
      <c r="AX1" s="142">
        <v>45</v>
      </c>
      <c r="AY1" s="142">
        <v>46</v>
      </c>
      <c r="AZ1" s="142">
        <v>47</v>
      </c>
      <c r="BA1" s="143"/>
      <c r="BB1" s="143"/>
      <c r="BC1" s="143"/>
      <c r="BD1" s="143"/>
      <c r="BE1" s="143"/>
      <c r="BF1" s="143"/>
      <c r="BG1" s="143"/>
      <c r="BH1" s="142">
        <v>48</v>
      </c>
      <c r="BJ1" s="142">
        <v>49</v>
      </c>
      <c r="BK1" s="142">
        <v>50</v>
      </c>
      <c r="BL1" s="142">
        <v>51</v>
      </c>
      <c r="BM1" s="142">
        <v>52</v>
      </c>
      <c r="BN1" s="143"/>
      <c r="BO1" s="142">
        <v>53</v>
      </c>
      <c r="BP1" s="142">
        <v>54</v>
      </c>
      <c r="BQ1" s="144" t="s">
        <v>265</v>
      </c>
    </row>
    <row r="2" spans="1:147" s="125" customFormat="1" ht="30.75" customHeight="1" x14ac:dyDescent="0.25">
      <c r="A2" s="145"/>
      <c r="B2" s="146" t="s">
        <v>266</v>
      </c>
      <c r="C2" s="147">
        <v>12.5</v>
      </c>
      <c r="D2" s="148"/>
      <c r="E2" s="149" t="s">
        <v>267</v>
      </c>
      <c r="F2" s="768" t="s">
        <v>0</v>
      </c>
      <c r="G2" s="769"/>
      <c r="H2" s="769"/>
      <c r="I2" s="770"/>
      <c r="J2" s="150"/>
      <c r="K2" s="151" t="s">
        <v>268</v>
      </c>
      <c r="L2" s="771" t="s">
        <v>269</v>
      </c>
      <c r="M2" s="772"/>
      <c r="N2" s="772"/>
      <c r="O2" s="773"/>
      <c r="P2" s="150"/>
      <c r="Q2" s="149" t="s">
        <v>270</v>
      </c>
      <c r="R2" s="774" t="s">
        <v>271</v>
      </c>
      <c r="S2" s="775"/>
      <c r="T2" s="775"/>
      <c r="U2" s="776"/>
      <c r="V2" s="150"/>
      <c r="W2" s="151" t="s">
        <v>272</v>
      </c>
      <c r="X2" s="777" t="s">
        <v>273</v>
      </c>
      <c r="Y2" s="778"/>
      <c r="Z2" s="778"/>
      <c r="AA2" s="779"/>
      <c r="AB2" s="780" t="s">
        <v>274</v>
      </c>
      <c r="AC2" s="150"/>
      <c r="AD2" s="149" t="s">
        <v>275</v>
      </c>
      <c r="AE2" s="768" t="s">
        <v>276</v>
      </c>
      <c r="AF2" s="769"/>
      <c r="AG2" s="769"/>
      <c r="AH2" s="770"/>
      <c r="AI2" s="150"/>
      <c r="AJ2" s="151" t="s">
        <v>277</v>
      </c>
      <c r="AK2" s="771" t="s">
        <v>278</v>
      </c>
      <c r="AL2" s="782"/>
      <c r="AM2" s="782"/>
      <c r="AN2" s="783"/>
      <c r="AO2" s="150"/>
      <c r="AP2" s="149" t="s">
        <v>279</v>
      </c>
      <c r="AQ2" s="768" t="s">
        <v>280</v>
      </c>
      <c r="AR2" s="769"/>
      <c r="AS2" s="769"/>
      <c r="AT2" s="770"/>
      <c r="AU2" s="150"/>
      <c r="AV2" s="151" t="s">
        <v>281</v>
      </c>
      <c r="AW2" s="771" t="s">
        <v>68</v>
      </c>
      <c r="AX2" s="772"/>
      <c r="AY2" s="772"/>
      <c r="AZ2" s="773"/>
      <c r="BA2" s="150"/>
      <c r="BB2" s="149" t="s">
        <v>75</v>
      </c>
      <c r="BC2" s="784" t="s">
        <v>282</v>
      </c>
      <c r="BD2" s="785"/>
      <c r="BE2" s="785"/>
      <c r="BF2" s="786"/>
      <c r="BG2" s="150"/>
      <c r="BH2" s="149" t="s">
        <v>130</v>
      </c>
      <c r="BI2" s="784" t="s">
        <v>76</v>
      </c>
      <c r="BJ2" s="785"/>
      <c r="BK2" s="785"/>
      <c r="BL2" s="786"/>
      <c r="BM2"/>
      <c r="BN2" s="150"/>
      <c r="BO2" s="152"/>
      <c r="BP2" s="152"/>
      <c r="CN2" s="767" t="s">
        <v>283</v>
      </c>
      <c r="CO2" s="767"/>
      <c r="CP2" s="767"/>
      <c r="CQ2" s="767"/>
      <c r="CR2" s="767"/>
      <c r="CS2" s="767"/>
      <c r="CT2" s="767"/>
      <c r="CU2" s="767"/>
      <c r="CV2" s="767"/>
      <c r="CW2" s="767"/>
      <c r="CX2" s="767"/>
      <c r="CY2" s="767"/>
      <c r="CZ2" s="767"/>
      <c r="DA2" s="767"/>
      <c r="DB2" s="767"/>
      <c r="DC2" s="767"/>
      <c r="DD2" s="767"/>
      <c r="DE2" s="767"/>
      <c r="DF2" s="767"/>
      <c r="DG2" s="767"/>
      <c r="DH2" s="767"/>
      <c r="DI2" s="767"/>
      <c r="DJ2" s="767"/>
      <c r="DK2" s="767"/>
      <c r="DL2" s="767"/>
      <c r="DM2" s="767"/>
      <c r="DN2" s="767"/>
      <c r="DO2" s="767"/>
      <c r="DP2" s="767"/>
      <c r="DQ2" s="767"/>
      <c r="DR2" s="767"/>
      <c r="DS2" s="767"/>
      <c r="DT2" s="767"/>
      <c r="DU2" s="767"/>
      <c r="DV2" s="767"/>
      <c r="DW2" s="767"/>
      <c r="DX2" s="767"/>
      <c r="DY2" s="767"/>
      <c r="DZ2" s="767"/>
      <c r="EA2" s="767"/>
      <c r="EB2" s="767"/>
      <c r="EC2" s="767"/>
      <c r="ED2" s="767"/>
      <c r="EE2" s="767"/>
      <c r="EF2" s="767"/>
      <c r="EG2" s="767"/>
      <c r="EH2" s="767"/>
      <c r="EI2" s="767"/>
      <c r="EJ2" s="767"/>
      <c r="EK2" s="767"/>
      <c r="EL2" s="767"/>
      <c r="EM2" s="767"/>
      <c r="EN2" s="767"/>
      <c r="EO2" s="767"/>
      <c r="EP2" s="767"/>
      <c r="EQ2" s="767"/>
    </row>
    <row r="3" spans="1:147" s="172" customFormat="1" ht="83.25" customHeight="1" x14ac:dyDescent="0.25">
      <c r="A3" s="153"/>
      <c r="B3" s="110" t="s">
        <v>107</v>
      </c>
      <c r="C3" s="110" t="s">
        <v>108</v>
      </c>
      <c r="D3" s="154"/>
      <c r="E3" s="106" t="s">
        <v>284</v>
      </c>
      <c r="F3" s="155" t="s">
        <v>285</v>
      </c>
      <c r="G3" s="156" t="s">
        <v>286</v>
      </c>
      <c r="H3" s="157" t="s">
        <v>257</v>
      </c>
      <c r="I3" s="158" t="s">
        <v>287</v>
      </c>
      <c r="J3" s="159"/>
      <c r="K3" s="160" t="s">
        <v>288</v>
      </c>
      <c r="L3" s="161" t="s">
        <v>289</v>
      </c>
      <c r="M3" s="161" t="s">
        <v>290</v>
      </c>
      <c r="N3" s="111" t="s">
        <v>257</v>
      </c>
      <c r="O3" s="162" t="s">
        <v>287</v>
      </c>
      <c r="P3" s="159"/>
      <c r="Q3" s="106" t="s">
        <v>291</v>
      </c>
      <c r="R3" s="163" t="s">
        <v>292</v>
      </c>
      <c r="S3" s="163" t="s">
        <v>293</v>
      </c>
      <c r="T3" s="164" t="s">
        <v>257</v>
      </c>
      <c r="U3" s="165" t="s">
        <v>294</v>
      </c>
      <c r="V3" s="159"/>
      <c r="W3" s="166" t="s">
        <v>295</v>
      </c>
      <c r="X3" s="161" t="s">
        <v>296</v>
      </c>
      <c r="Y3" s="161" t="s">
        <v>297</v>
      </c>
      <c r="Z3" s="111" t="s">
        <v>257</v>
      </c>
      <c r="AA3" s="162" t="s">
        <v>298</v>
      </c>
      <c r="AB3" s="781"/>
      <c r="AC3" s="167"/>
      <c r="AD3" s="106" t="s">
        <v>299</v>
      </c>
      <c r="AE3" s="155" t="s">
        <v>300</v>
      </c>
      <c r="AF3" s="155" t="s">
        <v>301</v>
      </c>
      <c r="AG3" s="157" t="s">
        <v>257</v>
      </c>
      <c r="AH3" s="158" t="s">
        <v>302</v>
      </c>
      <c r="AI3" s="159"/>
      <c r="AJ3" s="166" t="s">
        <v>284</v>
      </c>
      <c r="AK3" s="161" t="s">
        <v>303</v>
      </c>
      <c r="AL3" s="161" t="s">
        <v>304</v>
      </c>
      <c r="AM3" s="111" t="s">
        <v>257</v>
      </c>
      <c r="AN3" s="162" t="s">
        <v>302</v>
      </c>
      <c r="AO3" s="159"/>
      <c r="AP3" s="106" t="s">
        <v>305</v>
      </c>
      <c r="AQ3" s="155" t="s">
        <v>306</v>
      </c>
      <c r="AR3" s="155" t="s">
        <v>307</v>
      </c>
      <c r="AS3" s="157" t="s">
        <v>257</v>
      </c>
      <c r="AT3" s="158" t="s">
        <v>302</v>
      </c>
      <c r="AU3" s="159"/>
      <c r="AV3" s="166" t="s">
        <v>308</v>
      </c>
      <c r="AW3" s="161" t="s">
        <v>309</v>
      </c>
      <c r="AX3" s="161" t="s">
        <v>310</v>
      </c>
      <c r="AY3" s="111" t="s">
        <v>257</v>
      </c>
      <c r="AZ3" s="162" t="s">
        <v>302</v>
      </c>
      <c r="BA3" s="159"/>
      <c r="BB3" s="168" t="s">
        <v>129</v>
      </c>
      <c r="BC3" s="155" t="s">
        <v>354</v>
      </c>
      <c r="BD3" s="155" t="s">
        <v>355</v>
      </c>
      <c r="BE3" s="157" t="s">
        <v>257</v>
      </c>
      <c r="BF3" s="158" t="s">
        <v>302</v>
      </c>
      <c r="BG3" s="159"/>
      <c r="BH3" s="168" t="s">
        <v>311</v>
      </c>
      <c r="BI3" s="155" t="s">
        <v>312</v>
      </c>
      <c r="BJ3" s="155" t="s">
        <v>313</v>
      </c>
      <c r="BK3" s="157" t="s">
        <v>257</v>
      </c>
      <c r="BL3" s="158" t="s">
        <v>302</v>
      </c>
      <c r="BM3" s="77" t="s">
        <v>314</v>
      </c>
      <c r="BN3" s="169"/>
      <c r="BO3" s="170" t="s">
        <v>315</v>
      </c>
      <c r="BP3" s="151" t="s">
        <v>316</v>
      </c>
      <c r="BQ3" s="171" t="s">
        <v>317</v>
      </c>
      <c r="CN3" s="762" t="s">
        <v>318</v>
      </c>
      <c r="CO3" s="762"/>
      <c r="CP3" s="762"/>
      <c r="CQ3" s="762"/>
      <c r="CR3" s="762"/>
      <c r="CS3" s="762"/>
      <c r="CT3" s="763" t="s">
        <v>319</v>
      </c>
      <c r="CU3" s="763"/>
      <c r="CV3" s="763"/>
      <c r="CW3" s="763"/>
      <c r="CX3" s="763"/>
      <c r="CY3" s="763"/>
      <c r="CZ3" s="762" t="s">
        <v>320</v>
      </c>
      <c r="DA3" s="762"/>
      <c r="DB3" s="762"/>
      <c r="DC3" s="762"/>
      <c r="DD3" s="762"/>
      <c r="DE3" s="762"/>
      <c r="DF3" s="763" t="s">
        <v>321</v>
      </c>
      <c r="DG3" s="763"/>
      <c r="DH3" s="763"/>
      <c r="DI3" s="763"/>
      <c r="DJ3" s="763"/>
      <c r="DK3" s="763"/>
      <c r="DL3" s="763"/>
      <c r="DM3" s="762" t="s">
        <v>322</v>
      </c>
      <c r="DN3" s="762"/>
      <c r="DO3" s="762"/>
      <c r="DP3" s="762"/>
      <c r="DQ3" s="762"/>
      <c r="DR3" s="762"/>
      <c r="DS3" s="763" t="s">
        <v>323</v>
      </c>
      <c r="DT3" s="763"/>
      <c r="DU3" s="763"/>
      <c r="DV3" s="763"/>
      <c r="DW3" s="763"/>
      <c r="DX3" s="763"/>
      <c r="DY3" s="762" t="s">
        <v>324</v>
      </c>
      <c r="DZ3" s="762"/>
      <c r="EA3" s="762"/>
      <c r="EB3" s="762"/>
      <c r="EC3" s="762"/>
      <c r="ED3" s="762"/>
      <c r="EE3" s="763" t="s">
        <v>325</v>
      </c>
      <c r="EF3" s="763"/>
      <c r="EG3" s="763"/>
      <c r="EH3" s="763"/>
      <c r="EI3" s="763"/>
      <c r="EJ3" s="763"/>
      <c r="EK3" s="762" t="s">
        <v>326</v>
      </c>
      <c r="EL3" s="762"/>
      <c r="EM3" s="762"/>
      <c r="EN3" s="762"/>
      <c r="EO3" s="762"/>
      <c r="EP3" s="762"/>
    </row>
    <row r="4" spans="1:147" ht="12.75" outlineLevel="2" x14ac:dyDescent="0.2">
      <c r="A4" s="173" t="s">
        <v>211</v>
      </c>
      <c r="B4" s="71" t="s">
        <v>6</v>
      </c>
      <c r="C4" s="71" t="s">
        <v>7</v>
      </c>
      <c r="D4" s="174"/>
      <c r="E4" s="66">
        <v>0.432</v>
      </c>
      <c r="F4" s="175">
        <f>SUM('[4]117302'!$J$25:$M$25)+SUM('[4]117302'!$J$27:$M$27)+SUM('[4]117702'!$J$25:$M$25)+SUM('[4]117702'!$J$27:$M$27)+SUM('[4]117799'!$J$25:$M$25)+SUM('[4]117799'!$J$27:$M$27)+SUM('[4]117405'!$J$25:$M$25)+SUM('[4]117405'!$J$27:$M$27)</f>
        <v>14</v>
      </c>
      <c r="G4" s="176">
        <v>15</v>
      </c>
      <c r="H4" s="177">
        <f t="shared" ref="H4:H20" si="0">IF(E4="aut",100%,IF(G4=0,100%,F4/G4))</f>
        <v>0.93333333333333335</v>
      </c>
      <c r="I4" s="178">
        <f t="shared" ref="I4:I20" si="1">IF(E4="aut",$C$2,IF(H4&gt;=E4,$C$2,((H4/E4)*$C$2)))</f>
        <v>12.5</v>
      </c>
      <c r="J4" s="179"/>
      <c r="K4" s="180">
        <v>0.9</v>
      </c>
      <c r="L4" s="175">
        <f>SUM('[5]117302'!$B$11:$B$18)+SUM('[5]117702'!$B$11:$B$18)+SUM('[5]117799'!$B$11:$B$18)+SUM('[5]117405'!$B$11:$B$18)</f>
        <v>5240</v>
      </c>
      <c r="M4" s="175">
        <v>6727</v>
      </c>
      <c r="N4" s="177">
        <f t="shared" ref="N4:N20" si="2">IF(K4="aut",100%,IF(M4=0,100%,L4/M4))</f>
        <v>0.77895049799316185</v>
      </c>
      <c r="O4" s="178">
        <f t="shared" ref="O4:O20" si="3">IF(K4="aut",$C$2,IF(N4&gt;=K4,$C$2,((N4/K4)*$C$2)))</f>
        <v>10.818756916571692</v>
      </c>
      <c r="P4" s="179"/>
      <c r="Q4" s="66">
        <v>0.313</v>
      </c>
      <c r="R4" s="175">
        <f>SUM('[4]117302'!$F$199:$Y$199)+SUM('[4]117702'!$F$199:$Y$199)+SUM('[4]117799'!$F$199:$Y$199)+SUM('[4]117405'!$F$199:$Y$199)</f>
        <v>2174</v>
      </c>
      <c r="S4" s="175">
        <v>5003</v>
      </c>
      <c r="T4" s="177">
        <f t="shared" ref="T4:T20" si="4">IF(Q4="aut",100%,IF(S4=0,100%,R4/S4))</f>
        <v>0.43453927643413953</v>
      </c>
      <c r="U4" s="178">
        <f>IF(Q4="aut",($C$2/2),IF(T4&gt;=Q4,$C$2/2,((T4/Q4)*$C$2/2)))</f>
        <v>6.25</v>
      </c>
      <c r="V4" s="179"/>
      <c r="W4" s="66">
        <v>0.11</v>
      </c>
      <c r="X4" s="175">
        <f>SUM('[6]117302'!$S$48+'[6]117302'!$T$48)+SUM('[6]117702'!$S$48+'[6]117702'!$T$48)+SUM('[6]117799'!$S$48+'[6]117799'!$T$48)+SUM('[6]117405'!$S$48+'[6]117405'!$T$48)</f>
        <v>98</v>
      </c>
      <c r="Y4" s="175">
        <v>555</v>
      </c>
      <c r="Z4" s="177">
        <f>IF(W4="aut",100%,IF(Y4=0,100%,X4/Y4))</f>
        <v>0.17657657657657658</v>
      </c>
      <c r="AA4" s="178">
        <f t="shared" ref="AA4:AA20" si="5">IF(W4="aut",($C$2/2),IF(Z4&gt;=W4,$C$2/2,((Z4/W4)*$C$2/2)))</f>
        <v>6.25</v>
      </c>
      <c r="AB4" s="181">
        <f>AA4+U4</f>
        <v>12.5</v>
      </c>
      <c r="AC4" s="179"/>
      <c r="AD4" s="66">
        <v>0.156</v>
      </c>
      <c r="AE4" s="175">
        <f>'[7]117302'!$C$36+'[7]117302'!$C$37+'[7]117702'!$C$36+'[7]117702'!$C$37+'[7]117799'!$C$36+'[7]117799'!$C$37+'[7]117405'!$C$36+'[7]117405'!$C$37</f>
        <v>1114</v>
      </c>
      <c r="AF4" s="175">
        <v>4822</v>
      </c>
      <c r="AG4" s="177">
        <f t="shared" ref="AG4:AG36" si="6">IF(AD4="aut",100%,IF(AF4=0,100%,AE4/AF4))</f>
        <v>0.2310244711737868</v>
      </c>
      <c r="AH4" s="178">
        <f t="shared" ref="AH4:AH20" si="7">IF(AD4="aut",$C$2,IF(AG4&gt;=AD4,$C$2,((AG4/AD4)*$C$2)))</f>
        <v>12.5</v>
      </c>
      <c r="AI4" s="179"/>
      <c r="AJ4" s="66">
        <v>0.65600000000000003</v>
      </c>
      <c r="AK4" s="175">
        <f>'[7]117302'!$C$63+'[7]117302'!$C$60+'[7]117302'!$C$61+'[7]117302'!$C$62+'[7]117702'!$C$63+'[7]117702'!$C$60+'[7]117702'!$C$61+'[7]117702'!$C$62+'[7]117799'!$C$63+'[7]117799'!$C$60+'[7]117799'!$C$61+'[7]117799'!$C$62+'[7]117405'!$C$63+'[7]117405'!$C$60+'[7]117405'!$C$61+'[7]117405'!$C$62</f>
        <v>2026</v>
      </c>
      <c r="AL4" s="175">
        <f>'[7]117302'!$C$17+'[7]117702'!$C$17+'[7]117799'!$C$17+'[7]117405'!$C$17</f>
        <v>2599</v>
      </c>
      <c r="AM4" s="177">
        <f t="shared" ref="AM4:AM36" si="8">IF(AJ4="aut",100%,IF(AL4=0,100%,AK4/AL4))</f>
        <v>0.77953058868795688</v>
      </c>
      <c r="AN4" s="178">
        <f t="shared" ref="AN4:AN20" si="9">IF(AJ4="aut",$C$2,IF(AM4&gt;=AJ4,$C$2,((AM4/AJ4)*$C$2)))</f>
        <v>12.5</v>
      </c>
      <c r="AO4" s="179"/>
      <c r="AP4" s="66">
        <v>0.23699999999999999</v>
      </c>
      <c r="AQ4" s="175">
        <f>'[7]117302'!$C$35+'[7]117302'!$C$34+'[7]117702'!$C$35+'[7]117702'!$C$34+'[7]117799'!$C$35+'[7]117799'!$C$34+'[7]117405'!$C$35+'[7]117405'!$C$34</f>
        <v>2823</v>
      </c>
      <c r="AR4" s="175">
        <v>10909</v>
      </c>
      <c r="AS4" s="177">
        <f t="shared" ref="AS4:AS36" si="10">IF(AP4="aut",100%,IF(AR4=0,100%,AQ4/AR4))</f>
        <v>0.25877715647630395</v>
      </c>
      <c r="AT4" s="178">
        <f t="shared" ref="AT4:AT20" si="11">IF(AP4="aut",$C$2,IF(AS4&gt;=AP4,$C$2,((AS4/AP4)*$C$2)))</f>
        <v>12.5</v>
      </c>
      <c r="AU4" s="179"/>
      <c r="AV4" s="66">
        <v>0.69099999999999995</v>
      </c>
      <c r="AW4" s="175">
        <f>SUM('[4]117302'!$J$62:$K$62)+SUM('[4]117702'!$J$62:$K$62)+SUM('[4]117799'!$J$62:$K$62)+SUM('[4]117405'!$J$62:$K$62)</f>
        <v>165</v>
      </c>
      <c r="AX4" s="175">
        <f>SUM('[4]117302'!$J$61:$K$61)+SUM('[4]117702'!$J$61:$K$61)+SUM('[4]117799'!$J$61:$K$61)+SUM('[4]117405'!$J$61:$K$61)</f>
        <v>278</v>
      </c>
      <c r="AY4" s="177">
        <f t="shared" ref="AY4:AY36" si="12">IF(AV4="aut",100%,IF(AX4=0,100%,AW4/AX4))</f>
        <v>0.59352517985611508</v>
      </c>
      <c r="AZ4" s="178">
        <f t="shared" ref="AZ4:AZ20" si="13">IF(AV4="aut",$C$2,IF(AY4&gt;=AV4,$C$2,((AY4/AV4)*$C$2)))</f>
        <v>10.736707305646078</v>
      </c>
      <c r="BA4" s="179"/>
      <c r="BB4" s="180">
        <v>0.09</v>
      </c>
      <c r="BC4" s="175"/>
      <c r="BD4" s="175"/>
      <c r="BE4" s="177">
        <f t="shared" ref="BE4:BE20" si="14">IF(BB4="aut",100%,IF(BD4=0,100%,BC4/BD4))</f>
        <v>1</v>
      </c>
      <c r="BF4" s="182">
        <v>6.25E-2</v>
      </c>
      <c r="BG4" s="179"/>
      <c r="BH4" s="180">
        <v>0.8</v>
      </c>
      <c r="BI4" s="175">
        <v>1</v>
      </c>
      <c r="BJ4" s="175">
        <v>1</v>
      </c>
      <c r="BK4" s="177">
        <f t="shared" ref="BK4:BK20" si="15">IF(BH4="aut",100%,IF(BJ4=0,100%,BI4/BJ4))</f>
        <v>1</v>
      </c>
      <c r="BL4" s="178">
        <f>IF(BH4="aut",$C$2,IF(BK4&gt;=BH4,$C$2,0%))</f>
        <v>12.5</v>
      </c>
      <c r="BM4" s="183"/>
      <c r="BN4" s="184"/>
      <c r="BO4" s="185">
        <f t="shared" ref="BO4:BO11" si="16">+BL4+AZ4+AT4+AH4+AB4+O4+I4+AN4</f>
        <v>96.555464222217765</v>
      </c>
      <c r="BP4" s="186" t="str">
        <f t="shared" ref="BP4:BP20" si="17">IF(BO4&gt;=90,"Tramo 1: 100% C. Variable",IF(AND(BO4&gt;=75,BO4&lt;90),"Tramo 2: 50% C. Variable",IF(BO4&lt;75,"Tramo 3: Sin Asig. C. Variable")))</f>
        <v>Tramo 1: 100% C. Variable</v>
      </c>
      <c r="BQ4" s="187">
        <v>90</v>
      </c>
      <c r="CN4" s="71" t="s">
        <v>6</v>
      </c>
      <c r="CO4" s="188">
        <f t="shared" ref="CO4:CS9" si="18">E4</f>
        <v>0.432</v>
      </c>
      <c r="CP4" s="71">
        <f t="shared" si="18"/>
        <v>14</v>
      </c>
      <c r="CQ4" s="71">
        <f t="shared" si="18"/>
        <v>15</v>
      </c>
      <c r="CR4" s="188">
        <f t="shared" si="18"/>
        <v>0.93333333333333335</v>
      </c>
      <c r="CS4" s="189">
        <f t="shared" si="18"/>
        <v>12.5</v>
      </c>
      <c r="CT4" s="71" t="s">
        <v>6</v>
      </c>
      <c r="CU4" s="188">
        <f t="shared" ref="CU4:CY9" si="19">K4</f>
        <v>0.9</v>
      </c>
      <c r="CV4" s="190">
        <f t="shared" si="19"/>
        <v>5240</v>
      </c>
      <c r="CW4" s="190">
        <f t="shared" si="19"/>
        <v>6727</v>
      </c>
      <c r="CX4" s="72">
        <f t="shared" si="19"/>
        <v>0.77895049799316185</v>
      </c>
      <c r="CY4" s="191">
        <f t="shared" si="19"/>
        <v>10.818756916571692</v>
      </c>
      <c r="CZ4" s="71" t="s">
        <v>6</v>
      </c>
      <c r="DA4" s="192">
        <f t="shared" ref="DA4:DE9" si="20">Q4</f>
        <v>0.313</v>
      </c>
      <c r="DB4" s="190">
        <f t="shared" si="20"/>
        <v>2174</v>
      </c>
      <c r="DC4" s="190">
        <f t="shared" si="20"/>
        <v>5003</v>
      </c>
      <c r="DD4" s="72">
        <f t="shared" si="20"/>
        <v>0.43453927643413953</v>
      </c>
      <c r="DE4" s="191">
        <f t="shared" si="20"/>
        <v>6.25</v>
      </c>
      <c r="DF4" s="71" t="s">
        <v>6</v>
      </c>
      <c r="DG4" s="192">
        <f t="shared" ref="DG4:DL9" si="21">W4</f>
        <v>0.11</v>
      </c>
      <c r="DH4" s="190">
        <f t="shared" si="21"/>
        <v>98</v>
      </c>
      <c r="DI4" s="190">
        <f t="shared" si="21"/>
        <v>555</v>
      </c>
      <c r="DJ4" s="72">
        <f t="shared" si="21"/>
        <v>0.17657657657657658</v>
      </c>
      <c r="DK4" s="191">
        <f t="shared" si="21"/>
        <v>6.25</v>
      </c>
      <c r="DL4" s="191">
        <f t="shared" si="21"/>
        <v>12.5</v>
      </c>
      <c r="DM4" s="71" t="s">
        <v>6</v>
      </c>
      <c r="DN4" s="192">
        <f t="shared" ref="DN4:DR9" si="22">AD4</f>
        <v>0.156</v>
      </c>
      <c r="DO4" s="190">
        <f t="shared" si="22"/>
        <v>1114</v>
      </c>
      <c r="DP4" s="190">
        <f t="shared" si="22"/>
        <v>4822</v>
      </c>
      <c r="DQ4" s="72">
        <f t="shared" si="22"/>
        <v>0.2310244711737868</v>
      </c>
      <c r="DR4" s="193">
        <f t="shared" si="22"/>
        <v>12.5</v>
      </c>
      <c r="DS4" s="71" t="s">
        <v>6</v>
      </c>
      <c r="DT4" s="194">
        <f t="shared" ref="DT4:DX9" si="23">AJ4</f>
        <v>0.65600000000000003</v>
      </c>
      <c r="DU4" s="190">
        <f t="shared" si="23"/>
        <v>2026</v>
      </c>
      <c r="DV4" s="190">
        <f t="shared" si="23"/>
        <v>2599</v>
      </c>
      <c r="DW4" s="188">
        <f t="shared" si="23"/>
        <v>0.77953058868795688</v>
      </c>
      <c r="DX4" s="189">
        <f t="shared" si="23"/>
        <v>12.5</v>
      </c>
      <c r="DY4" s="71" t="s">
        <v>6</v>
      </c>
      <c r="DZ4" s="192">
        <f t="shared" ref="DZ4:ED9" si="24">AP4</f>
        <v>0.23699999999999999</v>
      </c>
      <c r="EA4" s="190">
        <f t="shared" si="24"/>
        <v>2823</v>
      </c>
      <c r="EB4" s="190">
        <f t="shared" si="24"/>
        <v>10909</v>
      </c>
      <c r="EC4" s="188">
        <f t="shared" si="24"/>
        <v>0.25877715647630395</v>
      </c>
      <c r="ED4" s="189">
        <f t="shared" si="24"/>
        <v>12.5</v>
      </c>
      <c r="EE4" s="71" t="s">
        <v>6</v>
      </c>
      <c r="EF4" s="192">
        <f t="shared" ref="EF4:EJ9" si="25">AV4</f>
        <v>0.69099999999999995</v>
      </c>
      <c r="EG4" s="190">
        <f t="shared" si="25"/>
        <v>165</v>
      </c>
      <c r="EH4" s="190">
        <f t="shared" si="25"/>
        <v>278</v>
      </c>
      <c r="EI4" s="72">
        <f t="shared" si="25"/>
        <v>0.59352517985611508</v>
      </c>
      <c r="EJ4" s="191">
        <f t="shared" si="25"/>
        <v>10.736707305646078</v>
      </c>
      <c r="EK4" s="71" t="s">
        <v>6</v>
      </c>
      <c r="EL4" s="192">
        <f>BH4</f>
        <v>0.8</v>
      </c>
      <c r="EM4" s="190">
        <f>BI4</f>
        <v>1</v>
      </c>
      <c r="EN4" s="190">
        <f t="shared" ref="EN4:EP9" si="26">BJ4</f>
        <v>1</v>
      </c>
      <c r="EO4" s="72">
        <f t="shared" si="26"/>
        <v>1</v>
      </c>
      <c r="EP4" s="189">
        <f t="shared" si="26"/>
        <v>12.5</v>
      </c>
    </row>
    <row r="5" spans="1:147" ht="12.75" outlineLevel="2" x14ac:dyDescent="0.2">
      <c r="A5" s="173" t="s">
        <v>212</v>
      </c>
      <c r="B5" s="71" t="s">
        <v>8</v>
      </c>
      <c r="C5" s="71" t="s">
        <v>7</v>
      </c>
      <c r="D5" s="174"/>
      <c r="E5" s="66">
        <v>0.9</v>
      </c>
      <c r="F5" s="175">
        <f>SUM('[4]117303'!$J$25:$M$25)+SUM('[4]117303'!$J$27:$M$27)+SUM('[4]117410'!$J$25:$M$25)+SUM('[4]117410'!$J$27:$M$27)</f>
        <v>7</v>
      </c>
      <c r="G5" s="176">
        <v>9</v>
      </c>
      <c r="H5" s="177">
        <f t="shared" si="0"/>
        <v>0.77777777777777779</v>
      </c>
      <c r="I5" s="178">
        <f t="shared" si="1"/>
        <v>10.802469135802468</v>
      </c>
      <c r="J5" s="179"/>
      <c r="K5" s="180">
        <v>0.9</v>
      </c>
      <c r="L5" s="175">
        <f>SUM('[5]117303'!$B$11:$B$18)+SUM('[5]117410'!$B$11:$B$18)</f>
        <v>2822</v>
      </c>
      <c r="M5" s="175">
        <v>3738</v>
      </c>
      <c r="N5" s="177">
        <f t="shared" si="2"/>
        <v>0.75494917067950773</v>
      </c>
      <c r="O5" s="178">
        <f t="shared" si="3"/>
        <v>10.485405148326496</v>
      </c>
      <c r="P5" s="179"/>
      <c r="Q5" s="66">
        <v>0.32800000000000001</v>
      </c>
      <c r="R5" s="175">
        <f>SUM('[4]117303'!$F$199:$Y$199)+SUM('[4]117410'!$F$199:$Y$199)</f>
        <v>816</v>
      </c>
      <c r="S5" s="175">
        <v>2285</v>
      </c>
      <c r="T5" s="177">
        <f t="shared" si="4"/>
        <v>0.35711159737417941</v>
      </c>
      <c r="U5" s="178">
        <f t="shared" ref="U5:U36" si="27">IF(Q5="aut",($C$2/2),IF(T5&gt;=Q5,$C$2/2,((T5/Q5)*$C$2/2)))</f>
        <v>6.25</v>
      </c>
      <c r="V5" s="179"/>
      <c r="W5" s="66">
        <v>0.11</v>
      </c>
      <c r="X5" s="175">
        <f>SUM('[6]117303'!$S$48+'[6]117303'!$T$48)+SUM('[6]117410'!$S$48+'[6]117410'!$T$48)</f>
        <v>41</v>
      </c>
      <c r="Y5" s="175">
        <v>263</v>
      </c>
      <c r="Z5" s="177">
        <f t="shared" ref="Z5:Z36" si="28">IF(W5="aut",100%,IF(Y5=0,100%,X5/Y5))</f>
        <v>0.155893536121673</v>
      </c>
      <c r="AA5" s="178">
        <f t="shared" si="5"/>
        <v>6.25</v>
      </c>
      <c r="AB5" s="181">
        <f t="shared" ref="AB5:AB36" si="29">AA5+U5</f>
        <v>12.5</v>
      </c>
      <c r="AC5" s="179"/>
      <c r="AD5" s="66">
        <v>0.16700000000000001</v>
      </c>
      <c r="AE5" s="175">
        <f>'[7]117303'!$C$36+'[7]117303'!$C$37+'[7]117410'!$C$36+'[7]117410'!$C$37</f>
        <v>604</v>
      </c>
      <c r="AF5" s="175">
        <v>2459</v>
      </c>
      <c r="AG5" s="177">
        <f t="shared" si="6"/>
        <v>0.24562830418869458</v>
      </c>
      <c r="AH5" s="178">
        <f t="shared" si="7"/>
        <v>12.5</v>
      </c>
      <c r="AI5" s="179"/>
      <c r="AJ5" s="66">
        <v>0.47499999999999998</v>
      </c>
      <c r="AK5" s="175">
        <f>'[7]117303'!$C$63+'[7]117303'!$C$60+'[7]117303'!$C$61+'[7]117303'!$C$62+'[7]117410'!$C$63+'[7]117410'!$C$60+'[7]117410'!$C$61+'[7]117410'!$C$62</f>
        <v>699</v>
      </c>
      <c r="AL5" s="175">
        <f>'[7]117303'!$C$17+'[7]117410'!$C$17</f>
        <v>1385</v>
      </c>
      <c r="AM5" s="177">
        <f t="shared" si="8"/>
        <v>0.50469314079422378</v>
      </c>
      <c r="AN5" s="178">
        <f t="shared" si="9"/>
        <v>12.5</v>
      </c>
      <c r="AO5" s="179"/>
      <c r="AP5" s="66">
        <v>0.24299999999999999</v>
      </c>
      <c r="AQ5" s="175">
        <f>'[7]117303'!$C$35+'[7]117303'!$C$34+'[7]117410'!$C$35+'[7]117410'!$C$34</f>
        <v>1367</v>
      </c>
      <c r="AR5" s="175">
        <v>5574</v>
      </c>
      <c r="AS5" s="177">
        <f t="shared" si="10"/>
        <v>0.24524578399712954</v>
      </c>
      <c r="AT5" s="178">
        <f t="shared" si="11"/>
        <v>12.5</v>
      </c>
      <c r="AU5" s="179"/>
      <c r="AV5" s="66">
        <v>0.67500000000000004</v>
      </c>
      <c r="AW5" s="175">
        <f>SUM('[4]117303'!$J$62:$K$62)+SUM('[4]117410'!$J$62:$K$62)</f>
        <v>88</v>
      </c>
      <c r="AX5" s="175">
        <f>SUM('[4]117303'!$J$61:$K$61)+SUM('[4]117410'!$J$61:$K$61)</f>
        <v>127</v>
      </c>
      <c r="AY5" s="177">
        <f t="shared" si="12"/>
        <v>0.69291338582677164</v>
      </c>
      <c r="AZ5" s="178">
        <f t="shared" si="13"/>
        <v>12.5</v>
      </c>
      <c r="BA5" s="179"/>
      <c r="BB5" s="180">
        <v>0.12</v>
      </c>
      <c r="BC5" s="175"/>
      <c r="BD5" s="175"/>
      <c r="BE5" s="177">
        <f t="shared" si="14"/>
        <v>1</v>
      </c>
      <c r="BF5" s="182">
        <v>6.25E-2</v>
      </c>
      <c r="BG5" s="179"/>
      <c r="BH5" s="180">
        <v>0.8</v>
      </c>
      <c r="BI5" s="175">
        <v>1</v>
      </c>
      <c r="BJ5" s="175">
        <v>1</v>
      </c>
      <c r="BK5" s="177">
        <f t="shared" si="15"/>
        <v>1</v>
      </c>
      <c r="BL5" s="178">
        <f t="shared" ref="BL5:BL36" si="30">IF(BH5="aut",$C$2,IF(BK5&gt;=BH5,$C$2,0%))</f>
        <v>12.5</v>
      </c>
      <c r="BM5" s="183"/>
      <c r="BN5" s="184"/>
      <c r="BO5" s="185">
        <f t="shared" si="16"/>
        <v>96.287874284128961</v>
      </c>
      <c r="BP5" s="186" t="str">
        <f t="shared" si="17"/>
        <v>Tramo 1: 100% C. Variable</v>
      </c>
      <c r="BQ5" s="187">
        <v>90</v>
      </c>
      <c r="CN5" s="71" t="s">
        <v>8</v>
      </c>
      <c r="CO5" s="188">
        <f t="shared" si="18"/>
        <v>0.9</v>
      </c>
      <c r="CP5" s="71">
        <f t="shared" si="18"/>
        <v>7</v>
      </c>
      <c r="CQ5" s="71">
        <f t="shared" si="18"/>
        <v>9</v>
      </c>
      <c r="CR5" s="188">
        <f t="shared" si="18"/>
        <v>0.77777777777777779</v>
      </c>
      <c r="CS5" s="189">
        <f t="shared" si="18"/>
        <v>10.802469135802468</v>
      </c>
      <c r="CT5" s="71" t="s">
        <v>8</v>
      </c>
      <c r="CU5" s="188">
        <f t="shared" si="19"/>
        <v>0.9</v>
      </c>
      <c r="CV5" s="190">
        <f t="shared" si="19"/>
        <v>2822</v>
      </c>
      <c r="CW5" s="190">
        <f t="shared" si="19"/>
        <v>3738</v>
      </c>
      <c r="CX5" s="72">
        <f t="shared" si="19"/>
        <v>0.75494917067950773</v>
      </c>
      <c r="CY5" s="191">
        <f t="shared" si="19"/>
        <v>10.485405148326496</v>
      </c>
      <c r="CZ5" s="71" t="s">
        <v>8</v>
      </c>
      <c r="DA5" s="192">
        <f t="shared" si="20"/>
        <v>0.32800000000000001</v>
      </c>
      <c r="DB5" s="190">
        <f t="shared" si="20"/>
        <v>816</v>
      </c>
      <c r="DC5" s="190">
        <f t="shared" si="20"/>
        <v>2285</v>
      </c>
      <c r="DD5" s="72">
        <f t="shared" si="20"/>
        <v>0.35711159737417941</v>
      </c>
      <c r="DE5" s="191">
        <f t="shared" si="20"/>
        <v>6.25</v>
      </c>
      <c r="DF5" s="71" t="s">
        <v>8</v>
      </c>
      <c r="DG5" s="192">
        <f t="shared" si="21"/>
        <v>0.11</v>
      </c>
      <c r="DH5" s="190">
        <f t="shared" si="21"/>
        <v>41</v>
      </c>
      <c r="DI5" s="190">
        <f t="shared" si="21"/>
        <v>263</v>
      </c>
      <c r="DJ5" s="72">
        <f t="shared" si="21"/>
        <v>0.155893536121673</v>
      </c>
      <c r="DK5" s="191">
        <f t="shared" si="21"/>
        <v>6.25</v>
      </c>
      <c r="DL5" s="191">
        <f t="shared" si="21"/>
        <v>12.5</v>
      </c>
      <c r="DM5" s="71" t="s">
        <v>8</v>
      </c>
      <c r="DN5" s="192">
        <f t="shared" si="22"/>
        <v>0.16700000000000001</v>
      </c>
      <c r="DO5" s="190">
        <f t="shared" si="22"/>
        <v>604</v>
      </c>
      <c r="DP5" s="190">
        <f t="shared" si="22"/>
        <v>2459</v>
      </c>
      <c r="DQ5" s="72">
        <f t="shared" si="22"/>
        <v>0.24562830418869458</v>
      </c>
      <c r="DR5" s="193">
        <f t="shared" si="22"/>
        <v>12.5</v>
      </c>
      <c r="DS5" s="71" t="s">
        <v>8</v>
      </c>
      <c r="DT5" s="194">
        <f t="shared" si="23"/>
        <v>0.47499999999999998</v>
      </c>
      <c r="DU5" s="190">
        <f t="shared" si="23"/>
        <v>699</v>
      </c>
      <c r="DV5" s="190">
        <f t="shared" si="23"/>
        <v>1385</v>
      </c>
      <c r="DW5" s="188">
        <f t="shared" si="23"/>
        <v>0.50469314079422378</v>
      </c>
      <c r="DX5" s="189">
        <f t="shared" si="23"/>
        <v>12.5</v>
      </c>
      <c r="DY5" s="71" t="s">
        <v>8</v>
      </c>
      <c r="DZ5" s="192">
        <f t="shared" si="24"/>
        <v>0.24299999999999999</v>
      </c>
      <c r="EA5" s="190">
        <f t="shared" si="24"/>
        <v>1367</v>
      </c>
      <c r="EB5" s="190">
        <f t="shared" si="24"/>
        <v>5574</v>
      </c>
      <c r="EC5" s="188">
        <f t="shared" si="24"/>
        <v>0.24524578399712954</v>
      </c>
      <c r="ED5" s="189">
        <f t="shared" si="24"/>
        <v>12.5</v>
      </c>
      <c r="EE5" s="71" t="s">
        <v>8</v>
      </c>
      <c r="EF5" s="192">
        <f t="shared" si="25"/>
        <v>0.67500000000000004</v>
      </c>
      <c r="EG5" s="190">
        <f t="shared" si="25"/>
        <v>88</v>
      </c>
      <c r="EH5" s="190">
        <f t="shared" si="25"/>
        <v>127</v>
      </c>
      <c r="EI5" s="72">
        <f t="shared" si="25"/>
        <v>0.69291338582677164</v>
      </c>
      <c r="EJ5" s="191">
        <f t="shared" si="25"/>
        <v>12.5</v>
      </c>
      <c r="EK5" s="71" t="s">
        <v>8</v>
      </c>
      <c r="EL5" s="192">
        <f t="shared" ref="EL5:EM9" si="31">BH5</f>
        <v>0.8</v>
      </c>
      <c r="EM5" s="190">
        <f t="shared" si="31"/>
        <v>1</v>
      </c>
      <c r="EN5" s="190">
        <f t="shared" si="26"/>
        <v>1</v>
      </c>
      <c r="EO5" s="72">
        <f t="shared" si="26"/>
        <v>1</v>
      </c>
      <c r="EP5" s="189">
        <f t="shared" si="26"/>
        <v>12.5</v>
      </c>
    </row>
    <row r="6" spans="1:147" ht="12.75" outlineLevel="2" x14ac:dyDescent="0.2">
      <c r="A6" s="173" t="s">
        <v>213</v>
      </c>
      <c r="B6" s="71" t="s">
        <v>9</v>
      </c>
      <c r="C6" s="71" t="s">
        <v>7</v>
      </c>
      <c r="D6" s="174"/>
      <c r="E6" s="66">
        <v>0.9</v>
      </c>
      <c r="F6" s="175">
        <f>SUM('[4]117304'!$J$25:$M$25)+SUM('[4]117304'!$J$27:$M$27)+SUM('[4]200261'!$J$25:$M$25)+SUM('[4]200261'!$J$27:$M$27)</f>
        <v>2</v>
      </c>
      <c r="G6" s="176">
        <v>2</v>
      </c>
      <c r="H6" s="177">
        <f t="shared" si="0"/>
        <v>1</v>
      </c>
      <c r="I6" s="178">
        <f t="shared" si="1"/>
        <v>12.5</v>
      </c>
      <c r="J6" s="179"/>
      <c r="K6" s="180">
        <v>0.9</v>
      </c>
      <c r="L6" s="175">
        <v>2494</v>
      </c>
      <c r="M6" s="175">
        <v>3605</v>
      </c>
      <c r="N6" s="177">
        <f t="shared" si="2"/>
        <v>0.69181692094313452</v>
      </c>
      <c r="O6" s="178">
        <f t="shared" si="3"/>
        <v>9.6085683464324241</v>
      </c>
      <c r="P6" s="179"/>
      <c r="Q6" s="66">
        <v>0.31</v>
      </c>
      <c r="R6" s="175">
        <f>SUM('[4]117304'!$F$199:$Y$199)+SUM('[4]200261'!$F$199:$Y$199)</f>
        <v>872</v>
      </c>
      <c r="S6" s="175">
        <v>2289</v>
      </c>
      <c r="T6" s="177">
        <f t="shared" si="4"/>
        <v>0.38095238095238093</v>
      </c>
      <c r="U6" s="178">
        <f t="shared" si="27"/>
        <v>6.25</v>
      </c>
      <c r="V6" s="179"/>
      <c r="W6" s="66">
        <v>0.11</v>
      </c>
      <c r="X6" s="175">
        <f>SUM('[6]117304'!$S$48+'[6]117304'!$T$48)+SUM('[6]200261'!$S$48+'[6]200261'!$T$48)</f>
        <v>65</v>
      </c>
      <c r="Y6" s="175">
        <v>256.25</v>
      </c>
      <c r="Z6" s="177">
        <f t="shared" si="28"/>
        <v>0.25365853658536586</v>
      </c>
      <c r="AA6" s="178">
        <f t="shared" si="5"/>
        <v>6.25</v>
      </c>
      <c r="AB6" s="181">
        <f t="shared" si="29"/>
        <v>12.5</v>
      </c>
      <c r="AC6" s="179"/>
      <c r="AD6" s="66">
        <v>0.19900000000000001</v>
      </c>
      <c r="AE6" s="175">
        <f>'[7]117304'!$C$37+'[7]117304'!$C$36+'[7]200261'!$C$37+'[7]200261'!$C$36</f>
        <v>740</v>
      </c>
      <c r="AF6" s="175">
        <v>2691</v>
      </c>
      <c r="AG6" s="177">
        <f t="shared" si="6"/>
        <v>0.27499070977331846</v>
      </c>
      <c r="AH6" s="178">
        <f t="shared" si="7"/>
        <v>12.5</v>
      </c>
      <c r="AI6" s="179"/>
      <c r="AJ6" s="66">
        <v>0.49399999999999999</v>
      </c>
      <c r="AK6" s="175">
        <f>'[7]117304'!$C$63+'[7]117304'!$C$60+'[7]117304'!$C$61+'[7]117304'!$C$62+'[7]200261'!$C$63+'[7]200261'!$C$60+'[7]200261'!$C$61+'[7]200261'!$C$62</f>
        <v>572</v>
      </c>
      <c r="AL6" s="175">
        <f>'[7]117304'!$C$17+'[7]200261'!$C$17</f>
        <v>1896</v>
      </c>
      <c r="AM6" s="177">
        <f t="shared" si="8"/>
        <v>0.30168776371308015</v>
      </c>
      <c r="AN6" s="178">
        <f t="shared" si="9"/>
        <v>7.6337996890961577</v>
      </c>
      <c r="AO6" s="179"/>
      <c r="AP6" s="66">
        <v>0.39200000000000002</v>
      </c>
      <c r="AQ6" s="175">
        <f>'[7]117304'!$C$35+'[7]117304'!$C$34+'[7]200261'!$C$35+'[7]200261'!$C$34</f>
        <v>2460</v>
      </c>
      <c r="AR6" s="175">
        <v>6106</v>
      </c>
      <c r="AS6" s="177">
        <f t="shared" si="10"/>
        <v>0.40288241074353093</v>
      </c>
      <c r="AT6" s="178">
        <f t="shared" si="11"/>
        <v>12.5</v>
      </c>
      <c r="AU6" s="179"/>
      <c r="AV6" s="66">
        <v>0.71799999999999997</v>
      </c>
      <c r="AW6" s="175">
        <f>SUM('[4]117304'!$J$62:$K$62)+SUM('[4]200261'!$J$62:$K$62)</f>
        <v>93</v>
      </c>
      <c r="AX6" s="175">
        <f>SUM('[4]117304'!$J$61:$K$61)+SUM('[4]200261'!$J$61:$K$61)</f>
        <v>153</v>
      </c>
      <c r="AY6" s="177">
        <f t="shared" si="12"/>
        <v>0.60784313725490191</v>
      </c>
      <c r="AZ6" s="178">
        <f t="shared" si="13"/>
        <v>10.582227319897317</v>
      </c>
      <c r="BA6" s="179"/>
      <c r="BB6" s="180">
        <v>0.18</v>
      </c>
      <c r="BC6" s="175"/>
      <c r="BD6" s="175"/>
      <c r="BE6" s="177">
        <f t="shared" si="14"/>
        <v>1</v>
      </c>
      <c r="BF6" s="182">
        <v>6.25E-2</v>
      </c>
      <c r="BG6" s="179"/>
      <c r="BH6" s="180">
        <v>0.8</v>
      </c>
      <c r="BI6" s="175">
        <v>1</v>
      </c>
      <c r="BJ6" s="175">
        <v>1</v>
      </c>
      <c r="BK6" s="177">
        <f t="shared" si="15"/>
        <v>1</v>
      </c>
      <c r="BL6" s="178">
        <f t="shared" si="30"/>
        <v>12.5</v>
      </c>
      <c r="BM6" s="183"/>
      <c r="BN6" s="184"/>
      <c r="BO6" s="185">
        <f t="shared" si="16"/>
        <v>90.324595355425885</v>
      </c>
      <c r="BP6" s="186" t="str">
        <f t="shared" si="17"/>
        <v>Tramo 1: 100% C. Variable</v>
      </c>
      <c r="BQ6" s="187">
        <v>90</v>
      </c>
      <c r="CN6" s="71" t="s">
        <v>9</v>
      </c>
      <c r="CO6" s="188">
        <f t="shared" si="18"/>
        <v>0.9</v>
      </c>
      <c r="CP6" s="71">
        <f t="shared" si="18"/>
        <v>2</v>
      </c>
      <c r="CQ6" s="71">
        <f t="shared" si="18"/>
        <v>2</v>
      </c>
      <c r="CR6" s="188">
        <f t="shared" si="18"/>
        <v>1</v>
      </c>
      <c r="CS6" s="189">
        <f t="shared" si="18"/>
        <v>12.5</v>
      </c>
      <c r="CT6" s="71" t="s">
        <v>9</v>
      </c>
      <c r="CU6" s="188">
        <f t="shared" si="19"/>
        <v>0.9</v>
      </c>
      <c r="CV6" s="190">
        <f t="shared" si="19"/>
        <v>2494</v>
      </c>
      <c r="CW6" s="190">
        <f t="shared" si="19"/>
        <v>3605</v>
      </c>
      <c r="CX6" s="72">
        <f t="shared" si="19"/>
        <v>0.69181692094313452</v>
      </c>
      <c r="CY6" s="191">
        <f t="shared" si="19"/>
        <v>9.6085683464324241</v>
      </c>
      <c r="CZ6" s="71" t="s">
        <v>9</v>
      </c>
      <c r="DA6" s="192">
        <f t="shared" si="20"/>
        <v>0.31</v>
      </c>
      <c r="DB6" s="190">
        <f t="shared" si="20"/>
        <v>872</v>
      </c>
      <c r="DC6" s="190">
        <f t="shared" si="20"/>
        <v>2289</v>
      </c>
      <c r="DD6" s="72">
        <f t="shared" si="20"/>
        <v>0.38095238095238093</v>
      </c>
      <c r="DE6" s="191">
        <f t="shared" si="20"/>
        <v>6.25</v>
      </c>
      <c r="DF6" s="71" t="s">
        <v>9</v>
      </c>
      <c r="DG6" s="192">
        <f t="shared" si="21"/>
        <v>0.11</v>
      </c>
      <c r="DH6" s="190">
        <f t="shared" si="21"/>
        <v>65</v>
      </c>
      <c r="DI6" s="190">
        <f t="shared" si="21"/>
        <v>256.25</v>
      </c>
      <c r="DJ6" s="72">
        <f t="shared" si="21"/>
        <v>0.25365853658536586</v>
      </c>
      <c r="DK6" s="191">
        <f t="shared" si="21"/>
        <v>6.25</v>
      </c>
      <c r="DL6" s="191">
        <f t="shared" si="21"/>
        <v>12.5</v>
      </c>
      <c r="DM6" s="71" t="s">
        <v>9</v>
      </c>
      <c r="DN6" s="192">
        <f t="shared" si="22"/>
        <v>0.19900000000000001</v>
      </c>
      <c r="DO6" s="190">
        <f t="shared" si="22"/>
        <v>740</v>
      </c>
      <c r="DP6" s="190">
        <f t="shared" si="22"/>
        <v>2691</v>
      </c>
      <c r="DQ6" s="72">
        <f t="shared" si="22"/>
        <v>0.27499070977331846</v>
      </c>
      <c r="DR6" s="193">
        <f t="shared" si="22"/>
        <v>12.5</v>
      </c>
      <c r="DS6" s="71" t="s">
        <v>9</v>
      </c>
      <c r="DT6" s="194">
        <f t="shared" si="23"/>
        <v>0.49399999999999999</v>
      </c>
      <c r="DU6" s="190">
        <f t="shared" si="23"/>
        <v>572</v>
      </c>
      <c r="DV6" s="190">
        <f t="shared" si="23"/>
        <v>1896</v>
      </c>
      <c r="DW6" s="188">
        <f t="shared" si="23"/>
        <v>0.30168776371308015</v>
      </c>
      <c r="DX6" s="189">
        <f t="shared" si="23"/>
        <v>7.6337996890961577</v>
      </c>
      <c r="DY6" s="71" t="s">
        <v>9</v>
      </c>
      <c r="DZ6" s="192">
        <f t="shared" si="24"/>
        <v>0.39200000000000002</v>
      </c>
      <c r="EA6" s="190">
        <f t="shared" si="24"/>
        <v>2460</v>
      </c>
      <c r="EB6" s="190">
        <f t="shared" si="24"/>
        <v>6106</v>
      </c>
      <c r="EC6" s="188">
        <f t="shared" si="24"/>
        <v>0.40288241074353093</v>
      </c>
      <c r="ED6" s="189">
        <f t="shared" si="24"/>
        <v>12.5</v>
      </c>
      <c r="EE6" s="71" t="s">
        <v>9</v>
      </c>
      <c r="EF6" s="192">
        <f t="shared" si="25"/>
        <v>0.71799999999999997</v>
      </c>
      <c r="EG6" s="190">
        <f t="shared" si="25"/>
        <v>93</v>
      </c>
      <c r="EH6" s="190">
        <f t="shared" si="25"/>
        <v>153</v>
      </c>
      <c r="EI6" s="72">
        <f t="shared" si="25"/>
        <v>0.60784313725490191</v>
      </c>
      <c r="EJ6" s="191">
        <f t="shared" si="25"/>
        <v>10.582227319897317</v>
      </c>
      <c r="EK6" s="71" t="s">
        <v>9</v>
      </c>
      <c r="EL6" s="192">
        <f t="shared" si="31"/>
        <v>0.8</v>
      </c>
      <c r="EM6" s="190">
        <f t="shared" si="31"/>
        <v>1</v>
      </c>
      <c r="EN6" s="190">
        <f t="shared" si="26"/>
        <v>1</v>
      </c>
      <c r="EO6" s="72">
        <f t="shared" si="26"/>
        <v>1</v>
      </c>
      <c r="EP6" s="189">
        <f t="shared" si="26"/>
        <v>12.5</v>
      </c>
    </row>
    <row r="7" spans="1:147" ht="12.75" outlineLevel="2" x14ac:dyDescent="0.2">
      <c r="A7" s="173" t="s">
        <v>214</v>
      </c>
      <c r="B7" s="71" t="s">
        <v>10</v>
      </c>
      <c r="C7" s="71" t="s">
        <v>7</v>
      </c>
      <c r="D7" s="174"/>
      <c r="E7" s="66">
        <v>0.73699999999999999</v>
      </c>
      <c r="F7" s="175">
        <f>SUM('[4]117322'!$J$25:$M$25)+SUM('[4]117322'!$J$27:$M$27)</f>
        <v>6</v>
      </c>
      <c r="G7" s="176">
        <v>7</v>
      </c>
      <c r="H7" s="177">
        <f t="shared" si="0"/>
        <v>0.8571428571428571</v>
      </c>
      <c r="I7" s="178">
        <f t="shared" si="1"/>
        <v>12.5</v>
      </c>
      <c r="J7" s="179"/>
      <c r="K7" s="180">
        <v>0.9</v>
      </c>
      <c r="L7" s="175">
        <f>SUM('[5]117322'!$B$11:$B$18)</f>
        <v>521</v>
      </c>
      <c r="M7" s="175">
        <v>617</v>
      </c>
      <c r="N7" s="177">
        <f t="shared" si="2"/>
        <v>0.84440842787682335</v>
      </c>
      <c r="O7" s="178">
        <f t="shared" si="3"/>
        <v>11.727894831622546</v>
      </c>
      <c r="P7" s="179"/>
      <c r="Q7" s="66">
        <v>0.35</v>
      </c>
      <c r="R7" s="175">
        <f>SUM('[4]117322'!$F$199:$Y$199)</f>
        <v>207</v>
      </c>
      <c r="S7" s="175">
        <v>284</v>
      </c>
      <c r="T7" s="177">
        <f t="shared" si="4"/>
        <v>0.72887323943661975</v>
      </c>
      <c r="U7" s="178">
        <f t="shared" si="27"/>
        <v>6.25</v>
      </c>
      <c r="V7" s="179"/>
      <c r="W7" s="66">
        <v>0.11</v>
      </c>
      <c r="X7" s="175">
        <f>SUM('[6]117322'!$S$48+'[6]117322'!$T$48)</f>
        <v>8</v>
      </c>
      <c r="Y7" s="175">
        <v>33.5</v>
      </c>
      <c r="Z7" s="177">
        <f t="shared" si="28"/>
        <v>0.23880597014925373</v>
      </c>
      <c r="AA7" s="178">
        <f t="shared" si="5"/>
        <v>6.25</v>
      </c>
      <c r="AB7" s="181">
        <f t="shared" si="29"/>
        <v>12.5</v>
      </c>
      <c r="AC7" s="179"/>
      <c r="AD7" s="66">
        <v>0.316</v>
      </c>
      <c r="AE7" s="175">
        <f>'[7]117322'!$C$36+'[7]117322'!$C$37</f>
        <v>128</v>
      </c>
      <c r="AF7" s="175">
        <v>463</v>
      </c>
      <c r="AG7" s="177">
        <f>IF(AD7="aut",100%,IF(AF7=0,100%,AE7/AF7))</f>
        <v>0.27645788336933047</v>
      </c>
      <c r="AH7" s="178">
        <f t="shared" si="7"/>
        <v>10.935833994039971</v>
      </c>
      <c r="AI7" s="179"/>
      <c r="AJ7" s="66">
        <v>0.63100000000000001</v>
      </c>
      <c r="AK7" s="175">
        <f>'[7]117322'!$C$63+'[7]117322'!$C$60+'[7]117322'!$C$61+'[7]117322'!$C$62</f>
        <v>334</v>
      </c>
      <c r="AL7" s="175">
        <f>'[7]117322'!$C$17</f>
        <v>408</v>
      </c>
      <c r="AM7" s="177">
        <f t="shared" si="8"/>
        <v>0.81862745098039214</v>
      </c>
      <c r="AN7" s="178">
        <f t="shared" si="9"/>
        <v>12.5</v>
      </c>
      <c r="AO7" s="179"/>
      <c r="AP7" s="66">
        <v>0.23200000000000001</v>
      </c>
      <c r="AQ7" s="175">
        <f>'[7]117322'!$C$35+'[7]117322'!$C$34</f>
        <v>408</v>
      </c>
      <c r="AR7" s="175">
        <v>1068</v>
      </c>
      <c r="AS7" s="177">
        <f t="shared" si="10"/>
        <v>0.38202247191011235</v>
      </c>
      <c r="AT7" s="178">
        <f t="shared" si="11"/>
        <v>12.5</v>
      </c>
      <c r="AU7" s="179"/>
      <c r="AV7" s="66">
        <v>0.6</v>
      </c>
      <c r="AW7" s="175">
        <f>SUM('[4]117322'!$J$62:$K$62)</f>
        <v>22</v>
      </c>
      <c r="AX7" s="175">
        <f>SUM('[4]117322'!$J$61:$K$61)</f>
        <v>24</v>
      </c>
      <c r="AY7" s="177">
        <f t="shared" si="12"/>
        <v>0.91666666666666663</v>
      </c>
      <c r="AZ7" s="178">
        <f t="shared" si="13"/>
        <v>12.5</v>
      </c>
      <c r="BA7" s="179"/>
      <c r="BB7" s="180">
        <v>0.42</v>
      </c>
      <c r="BC7" s="175"/>
      <c r="BD7" s="175"/>
      <c r="BE7" s="177">
        <f t="shared" si="14"/>
        <v>1</v>
      </c>
      <c r="BF7" s="182">
        <v>6.25E-2</v>
      </c>
      <c r="BG7" s="179"/>
      <c r="BH7" s="180">
        <v>0.8</v>
      </c>
      <c r="BI7" s="175">
        <v>1</v>
      </c>
      <c r="BJ7" s="175">
        <v>1</v>
      </c>
      <c r="BK7" s="177">
        <f t="shared" si="15"/>
        <v>1</v>
      </c>
      <c r="BL7" s="178">
        <f t="shared" si="30"/>
        <v>12.5</v>
      </c>
      <c r="BM7" s="183"/>
      <c r="BN7" s="184"/>
      <c r="BO7" s="185">
        <f t="shared" si="16"/>
        <v>97.663728825662517</v>
      </c>
      <c r="BP7" s="186" t="str">
        <f t="shared" si="17"/>
        <v>Tramo 1: 100% C. Variable</v>
      </c>
      <c r="BQ7" s="187">
        <v>90</v>
      </c>
      <c r="CN7" s="71" t="s">
        <v>10</v>
      </c>
      <c r="CO7" s="188">
        <f t="shared" si="18"/>
        <v>0.73699999999999999</v>
      </c>
      <c r="CP7" s="71">
        <f t="shared" si="18"/>
        <v>6</v>
      </c>
      <c r="CQ7" s="71">
        <f t="shared" si="18"/>
        <v>7</v>
      </c>
      <c r="CR7" s="188">
        <f t="shared" si="18"/>
        <v>0.8571428571428571</v>
      </c>
      <c r="CS7" s="189">
        <f t="shared" si="18"/>
        <v>12.5</v>
      </c>
      <c r="CT7" s="71" t="s">
        <v>10</v>
      </c>
      <c r="CU7" s="188">
        <f t="shared" si="19"/>
        <v>0.9</v>
      </c>
      <c r="CV7" s="190">
        <f t="shared" si="19"/>
        <v>521</v>
      </c>
      <c r="CW7" s="190">
        <f t="shared" si="19"/>
        <v>617</v>
      </c>
      <c r="CX7" s="72">
        <f t="shared" si="19"/>
        <v>0.84440842787682335</v>
      </c>
      <c r="CY7" s="191">
        <f t="shared" si="19"/>
        <v>11.727894831622546</v>
      </c>
      <c r="CZ7" s="71" t="s">
        <v>10</v>
      </c>
      <c r="DA7" s="192">
        <f t="shared" si="20"/>
        <v>0.35</v>
      </c>
      <c r="DB7" s="190">
        <f t="shared" si="20"/>
        <v>207</v>
      </c>
      <c r="DC7" s="190">
        <f t="shared" si="20"/>
        <v>284</v>
      </c>
      <c r="DD7" s="72">
        <f t="shared" si="20"/>
        <v>0.72887323943661975</v>
      </c>
      <c r="DE7" s="191">
        <f t="shared" si="20"/>
        <v>6.25</v>
      </c>
      <c r="DF7" s="71" t="s">
        <v>10</v>
      </c>
      <c r="DG7" s="192">
        <f t="shared" si="21"/>
        <v>0.11</v>
      </c>
      <c r="DH7" s="190">
        <f t="shared" si="21"/>
        <v>8</v>
      </c>
      <c r="DI7" s="190">
        <f t="shared" si="21"/>
        <v>33.5</v>
      </c>
      <c r="DJ7" s="72">
        <f t="shared" si="21"/>
        <v>0.23880597014925373</v>
      </c>
      <c r="DK7" s="191">
        <f t="shared" si="21"/>
        <v>6.25</v>
      </c>
      <c r="DL7" s="191">
        <f t="shared" si="21"/>
        <v>12.5</v>
      </c>
      <c r="DM7" s="71" t="s">
        <v>10</v>
      </c>
      <c r="DN7" s="192">
        <f t="shared" si="22"/>
        <v>0.316</v>
      </c>
      <c r="DO7" s="190">
        <f t="shared" si="22"/>
        <v>128</v>
      </c>
      <c r="DP7" s="190">
        <f t="shared" si="22"/>
        <v>463</v>
      </c>
      <c r="DQ7" s="72">
        <f t="shared" si="22"/>
        <v>0.27645788336933047</v>
      </c>
      <c r="DR7" s="193">
        <f t="shared" si="22"/>
        <v>10.935833994039971</v>
      </c>
      <c r="DS7" s="71" t="s">
        <v>10</v>
      </c>
      <c r="DT7" s="194">
        <f t="shared" si="23"/>
        <v>0.63100000000000001</v>
      </c>
      <c r="DU7" s="190">
        <f t="shared" si="23"/>
        <v>334</v>
      </c>
      <c r="DV7" s="190">
        <f t="shared" si="23"/>
        <v>408</v>
      </c>
      <c r="DW7" s="188">
        <f t="shared" si="23"/>
        <v>0.81862745098039214</v>
      </c>
      <c r="DX7" s="189">
        <f t="shared" si="23"/>
        <v>12.5</v>
      </c>
      <c r="DY7" s="71" t="s">
        <v>10</v>
      </c>
      <c r="DZ7" s="192">
        <f t="shared" si="24"/>
        <v>0.23200000000000001</v>
      </c>
      <c r="EA7" s="190">
        <f t="shared" si="24"/>
        <v>408</v>
      </c>
      <c r="EB7" s="190">
        <f t="shared" si="24"/>
        <v>1068</v>
      </c>
      <c r="EC7" s="188">
        <f t="shared" si="24"/>
        <v>0.38202247191011235</v>
      </c>
      <c r="ED7" s="189">
        <f t="shared" si="24"/>
        <v>12.5</v>
      </c>
      <c r="EE7" s="71" t="s">
        <v>10</v>
      </c>
      <c r="EF7" s="192">
        <f t="shared" si="25"/>
        <v>0.6</v>
      </c>
      <c r="EG7" s="190">
        <f t="shared" si="25"/>
        <v>22</v>
      </c>
      <c r="EH7" s="190">
        <f t="shared" si="25"/>
        <v>24</v>
      </c>
      <c r="EI7" s="72">
        <f t="shared" si="25"/>
        <v>0.91666666666666663</v>
      </c>
      <c r="EJ7" s="191">
        <f t="shared" si="25"/>
        <v>12.5</v>
      </c>
      <c r="EK7" s="71" t="s">
        <v>10</v>
      </c>
      <c r="EL7" s="192">
        <f t="shared" si="31"/>
        <v>0.8</v>
      </c>
      <c r="EM7" s="190">
        <f t="shared" si="31"/>
        <v>1</v>
      </c>
      <c r="EN7" s="190">
        <f t="shared" si="26"/>
        <v>1</v>
      </c>
      <c r="EO7" s="72">
        <f t="shared" si="26"/>
        <v>1</v>
      </c>
      <c r="EP7" s="189">
        <f t="shared" si="26"/>
        <v>12.5</v>
      </c>
    </row>
    <row r="8" spans="1:147" ht="12.75" outlineLevel="2" x14ac:dyDescent="0.2">
      <c r="A8" s="173" t="s">
        <v>215</v>
      </c>
      <c r="B8" s="71" t="s">
        <v>11</v>
      </c>
      <c r="C8" s="71" t="s">
        <v>7</v>
      </c>
      <c r="D8" s="174"/>
      <c r="E8" s="66">
        <v>0.9</v>
      </c>
      <c r="F8" s="175">
        <f>SUM('[4]117324'!$J$25:$M$25)+SUM('[4]117324'!$J$27:$M$27)</f>
        <v>13</v>
      </c>
      <c r="G8" s="176">
        <v>12</v>
      </c>
      <c r="H8" s="195">
        <f t="shared" si="0"/>
        <v>1.0833333333333333</v>
      </c>
      <c r="I8" s="178">
        <f t="shared" si="1"/>
        <v>12.5</v>
      </c>
      <c r="J8" s="179"/>
      <c r="K8" s="180">
        <v>0.9</v>
      </c>
      <c r="L8" s="175">
        <f>SUM('[5]117324'!$B$11:$B$18)</f>
        <v>3725</v>
      </c>
      <c r="M8" s="175">
        <v>3941</v>
      </c>
      <c r="N8" s="177">
        <f t="shared" si="2"/>
        <v>0.94519157574219737</v>
      </c>
      <c r="O8" s="178">
        <f t="shared" si="3"/>
        <v>12.5</v>
      </c>
      <c r="P8" s="179"/>
      <c r="Q8" s="66">
        <v>0.33300000000000002</v>
      </c>
      <c r="R8" s="175">
        <f>SUM('[4]117324'!$F$199:$Y$199)</f>
        <v>898</v>
      </c>
      <c r="S8" s="175">
        <v>2303</v>
      </c>
      <c r="T8" s="177">
        <f t="shared" si="4"/>
        <v>0.38992618323925315</v>
      </c>
      <c r="U8" s="178">
        <f t="shared" si="27"/>
        <v>6.25</v>
      </c>
      <c r="V8" s="179"/>
      <c r="W8" s="66">
        <v>0.11</v>
      </c>
      <c r="X8" s="175">
        <f>SUM('[6]117324'!$S$48+'[6]117324'!$T$48)</f>
        <v>41</v>
      </c>
      <c r="Y8" s="175">
        <v>270</v>
      </c>
      <c r="Z8" s="177">
        <f t="shared" si="28"/>
        <v>0.15185185185185185</v>
      </c>
      <c r="AA8" s="178">
        <f t="shared" si="5"/>
        <v>6.25</v>
      </c>
      <c r="AB8" s="181">
        <f t="shared" si="29"/>
        <v>12.5</v>
      </c>
      <c r="AC8" s="179"/>
      <c r="AD8" s="66">
        <v>0.308</v>
      </c>
      <c r="AE8" s="175">
        <f>'[7]117324'!$C$36+'[7]117324'!$C$37</f>
        <v>648</v>
      </c>
      <c r="AF8" s="175">
        <v>1948</v>
      </c>
      <c r="AG8" s="177">
        <f t="shared" si="6"/>
        <v>0.3326488706365503</v>
      </c>
      <c r="AH8" s="178">
        <f t="shared" si="7"/>
        <v>12.5</v>
      </c>
      <c r="AI8" s="179"/>
      <c r="AJ8" s="66">
        <v>0.70699999999999996</v>
      </c>
      <c r="AK8" s="175">
        <f>'[7]117324'!$C$63+'[7]117324'!$C$60+'[7]117324'!$C$61+'[7]117324'!$C$62</f>
        <v>1208</v>
      </c>
      <c r="AL8" s="175">
        <f>'[7]117324'!$C$17</f>
        <v>1587</v>
      </c>
      <c r="AM8" s="177">
        <f t="shared" si="8"/>
        <v>0.76118462507876494</v>
      </c>
      <c r="AN8" s="178">
        <f t="shared" si="9"/>
        <v>12.5</v>
      </c>
      <c r="AO8" s="179"/>
      <c r="AP8" s="66">
        <v>0.52200000000000002</v>
      </c>
      <c r="AQ8" s="175">
        <f>'[7]117324'!$C$35+'[7]117324'!$C$34</f>
        <v>2283</v>
      </c>
      <c r="AR8" s="175">
        <v>4348</v>
      </c>
      <c r="AS8" s="177">
        <f t="shared" si="10"/>
        <v>0.52506899724011036</v>
      </c>
      <c r="AT8" s="178">
        <f t="shared" si="11"/>
        <v>12.5</v>
      </c>
      <c r="AU8" s="179"/>
      <c r="AV8" s="66">
        <v>0.64</v>
      </c>
      <c r="AW8" s="175">
        <f>SUM('[4]117324'!$J$62:$K$62)</f>
        <v>95</v>
      </c>
      <c r="AX8" s="175">
        <f>SUM('[4]117324'!$J$61:$K$61)</f>
        <v>158</v>
      </c>
      <c r="AY8" s="177">
        <f t="shared" si="12"/>
        <v>0.60126582278481011</v>
      </c>
      <c r="AZ8" s="178">
        <f t="shared" si="13"/>
        <v>11.743473101265822</v>
      </c>
      <c r="BA8" s="179"/>
      <c r="BB8" s="180">
        <v>0.18</v>
      </c>
      <c r="BC8" s="175"/>
      <c r="BD8" s="175"/>
      <c r="BE8" s="177">
        <f t="shared" si="14"/>
        <v>1</v>
      </c>
      <c r="BF8" s="182">
        <v>6.25E-2</v>
      </c>
      <c r="BG8" s="179"/>
      <c r="BH8" s="180">
        <v>0.8</v>
      </c>
      <c r="BI8" s="175">
        <v>1</v>
      </c>
      <c r="BJ8" s="175">
        <v>1</v>
      </c>
      <c r="BK8" s="177">
        <f t="shared" si="15"/>
        <v>1</v>
      </c>
      <c r="BL8" s="178">
        <f t="shared" si="30"/>
        <v>12.5</v>
      </c>
      <c r="BM8" s="183"/>
      <c r="BN8" s="184"/>
      <c r="BO8" s="185">
        <f t="shared" si="16"/>
        <v>99.24347310126582</v>
      </c>
      <c r="BP8" s="186" t="str">
        <f t="shared" si="17"/>
        <v>Tramo 1: 100% C. Variable</v>
      </c>
      <c r="BQ8" s="187">
        <v>90</v>
      </c>
      <c r="CN8" s="71" t="s">
        <v>11</v>
      </c>
      <c r="CO8" s="188">
        <f t="shared" si="18"/>
        <v>0.9</v>
      </c>
      <c r="CP8" s="71">
        <f t="shared" si="18"/>
        <v>13</v>
      </c>
      <c r="CQ8" s="71">
        <f t="shared" si="18"/>
        <v>12</v>
      </c>
      <c r="CR8" s="188">
        <f t="shared" si="18"/>
        <v>1.0833333333333333</v>
      </c>
      <c r="CS8" s="189">
        <f t="shared" si="18"/>
        <v>12.5</v>
      </c>
      <c r="CT8" s="71" t="s">
        <v>11</v>
      </c>
      <c r="CU8" s="188">
        <f t="shared" si="19"/>
        <v>0.9</v>
      </c>
      <c r="CV8" s="190">
        <f t="shared" si="19"/>
        <v>3725</v>
      </c>
      <c r="CW8" s="190">
        <f t="shared" si="19"/>
        <v>3941</v>
      </c>
      <c r="CX8" s="72">
        <f t="shared" si="19"/>
        <v>0.94519157574219737</v>
      </c>
      <c r="CY8" s="191">
        <f t="shared" si="19"/>
        <v>12.5</v>
      </c>
      <c r="CZ8" s="71" t="s">
        <v>11</v>
      </c>
      <c r="DA8" s="192">
        <f t="shared" si="20"/>
        <v>0.33300000000000002</v>
      </c>
      <c r="DB8" s="190">
        <f t="shared" si="20"/>
        <v>898</v>
      </c>
      <c r="DC8" s="190">
        <f t="shared" si="20"/>
        <v>2303</v>
      </c>
      <c r="DD8" s="72">
        <f t="shared" si="20"/>
        <v>0.38992618323925315</v>
      </c>
      <c r="DE8" s="191">
        <f t="shared" si="20"/>
        <v>6.25</v>
      </c>
      <c r="DF8" s="71" t="s">
        <v>11</v>
      </c>
      <c r="DG8" s="192">
        <f t="shared" si="21"/>
        <v>0.11</v>
      </c>
      <c r="DH8" s="190">
        <f t="shared" si="21"/>
        <v>41</v>
      </c>
      <c r="DI8" s="190">
        <f t="shared" si="21"/>
        <v>270</v>
      </c>
      <c r="DJ8" s="72">
        <f t="shared" si="21"/>
        <v>0.15185185185185185</v>
      </c>
      <c r="DK8" s="191">
        <f t="shared" si="21"/>
        <v>6.25</v>
      </c>
      <c r="DL8" s="191">
        <f t="shared" si="21"/>
        <v>12.5</v>
      </c>
      <c r="DM8" s="71" t="s">
        <v>11</v>
      </c>
      <c r="DN8" s="192">
        <f t="shared" si="22"/>
        <v>0.308</v>
      </c>
      <c r="DO8" s="190">
        <f t="shared" si="22"/>
        <v>648</v>
      </c>
      <c r="DP8" s="190">
        <f t="shared" si="22"/>
        <v>1948</v>
      </c>
      <c r="DQ8" s="72">
        <f t="shared" si="22"/>
        <v>0.3326488706365503</v>
      </c>
      <c r="DR8" s="193">
        <f t="shared" si="22"/>
        <v>12.5</v>
      </c>
      <c r="DS8" s="71" t="s">
        <v>11</v>
      </c>
      <c r="DT8" s="194">
        <f t="shared" si="23"/>
        <v>0.70699999999999996</v>
      </c>
      <c r="DU8" s="190">
        <f t="shared" si="23"/>
        <v>1208</v>
      </c>
      <c r="DV8" s="190">
        <f t="shared" si="23"/>
        <v>1587</v>
      </c>
      <c r="DW8" s="188">
        <f t="shared" si="23"/>
        <v>0.76118462507876494</v>
      </c>
      <c r="DX8" s="189">
        <f t="shared" si="23"/>
        <v>12.5</v>
      </c>
      <c r="DY8" s="71" t="s">
        <v>11</v>
      </c>
      <c r="DZ8" s="192">
        <f t="shared" si="24"/>
        <v>0.52200000000000002</v>
      </c>
      <c r="EA8" s="190">
        <f t="shared" si="24"/>
        <v>2283</v>
      </c>
      <c r="EB8" s="190">
        <f t="shared" si="24"/>
        <v>4348</v>
      </c>
      <c r="EC8" s="188">
        <f t="shared" si="24"/>
        <v>0.52506899724011036</v>
      </c>
      <c r="ED8" s="189">
        <f t="shared" si="24"/>
        <v>12.5</v>
      </c>
      <c r="EE8" s="71" t="s">
        <v>11</v>
      </c>
      <c r="EF8" s="192">
        <f t="shared" si="25"/>
        <v>0.64</v>
      </c>
      <c r="EG8" s="190">
        <f t="shared" si="25"/>
        <v>95</v>
      </c>
      <c r="EH8" s="190">
        <f t="shared" si="25"/>
        <v>158</v>
      </c>
      <c r="EI8" s="72">
        <f t="shared" si="25"/>
        <v>0.60126582278481011</v>
      </c>
      <c r="EJ8" s="191">
        <f t="shared" si="25"/>
        <v>11.743473101265822</v>
      </c>
      <c r="EK8" s="71" t="s">
        <v>11</v>
      </c>
      <c r="EL8" s="192">
        <f t="shared" si="31"/>
        <v>0.8</v>
      </c>
      <c r="EM8" s="190">
        <f t="shared" si="31"/>
        <v>1</v>
      </c>
      <c r="EN8" s="190">
        <f t="shared" si="26"/>
        <v>1</v>
      </c>
      <c r="EO8" s="72">
        <f t="shared" si="26"/>
        <v>1</v>
      </c>
      <c r="EP8" s="189">
        <f t="shared" si="26"/>
        <v>12.5</v>
      </c>
    </row>
    <row r="9" spans="1:147" ht="12.75" outlineLevel="2" x14ac:dyDescent="0.2">
      <c r="A9" s="173" t="s">
        <v>216</v>
      </c>
      <c r="B9" s="71" t="s">
        <v>12</v>
      </c>
      <c r="C9" s="71" t="s">
        <v>7</v>
      </c>
      <c r="D9" s="174"/>
      <c r="E9" s="66">
        <v>0.27</v>
      </c>
      <c r="F9" s="175">
        <f>SUM('[4]117330'!$J$25:$M$25)+SUM('[4]117330'!$J$27:$M$27)</f>
        <v>8</v>
      </c>
      <c r="G9" s="176">
        <v>13</v>
      </c>
      <c r="H9" s="177">
        <f t="shared" si="0"/>
        <v>0.61538461538461542</v>
      </c>
      <c r="I9" s="178">
        <f t="shared" si="1"/>
        <v>12.5</v>
      </c>
      <c r="J9" s="179"/>
      <c r="K9" s="180">
        <v>0.9</v>
      </c>
      <c r="L9" s="175">
        <f>SUM('[5]117330'!$B$11:$B$18)</f>
        <v>2320</v>
      </c>
      <c r="M9" s="175">
        <v>2610</v>
      </c>
      <c r="N9" s="177">
        <f t="shared" si="2"/>
        <v>0.88888888888888884</v>
      </c>
      <c r="O9" s="178">
        <f t="shared" si="3"/>
        <v>12.345679012345679</v>
      </c>
      <c r="P9" s="179"/>
      <c r="Q9" s="66">
        <v>0.35</v>
      </c>
      <c r="R9" s="175">
        <f>SUM('[4]117330'!$F$199:$Y$199)</f>
        <v>686</v>
      </c>
      <c r="S9" s="175">
        <v>1949</v>
      </c>
      <c r="T9" s="177">
        <f t="shared" si="4"/>
        <v>0.35197537198563367</v>
      </c>
      <c r="U9" s="178">
        <f t="shared" si="27"/>
        <v>6.25</v>
      </c>
      <c r="V9" s="179"/>
      <c r="W9" s="66">
        <v>0.11</v>
      </c>
      <c r="X9" s="175">
        <f>SUM('[6]117330'!$S$48+'[6]117330'!$T$48)</f>
        <v>39</v>
      </c>
      <c r="Y9" s="175">
        <v>251.25</v>
      </c>
      <c r="Z9" s="177">
        <f t="shared" si="28"/>
        <v>0.15522388059701492</v>
      </c>
      <c r="AA9" s="178">
        <f t="shared" si="5"/>
        <v>6.25</v>
      </c>
      <c r="AB9" s="181">
        <f t="shared" si="29"/>
        <v>12.5</v>
      </c>
      <c r="AC9" s="179"/>
      <c r="AD9" s="66">
        <v>0.20899999999999999</v>
      </c>
      <c r="AE9" s="175">
        <f>'[7]117330'!$C$36+'[7]117330'!$C$37</f>
        <v>276</v>
      </c>
      <c r="AF9" s="175">
        <v>1216</v>
      </c>
      <c r="AG9" s="177">
        <f t="shared" si="6"/>
        <v>0.22697368421052633</v>
      </c>
      <c r="AH9" s="178">
        <f t="shared" si="7"/>
        <v>12.5</v>
      </c>
      <c r="AI9" s="179"/>
      <c r="AJ9" s="66">
        <v>0.67200000000000004</v>
      </c>
      <c r="AK9" s="175">
        <f>'[7]117330'!$C$63+'[7]117330'!$C$60+'[7]117330'!$C$61+'[7]117330'!$C$62</f>
        <v>748</v>
      </c>
      <c r="AL9" s="175">
        <f>'[7]117330'!$C$17</f>
        <v>903</v>
      </c>
      <c r="AM9" s="177">
        <f t="shared" si="8"/>
        <v>0.82834994462901435</v>
      </c>
      <c r="AN9" s="178">
        <f t="shared" si="9"/>
        <v>12.5</v>
      </c>
      <c r="AO9" s="179"/>
      <c r="AP9" s="66">
        <v>0.28799999999999998</v>
      </c>
      <c r="AQ9" s="175">
        <f>'[7]117330'!$C$35+'[7]117330'!$C$34</f>
        <v>893</v>
      </c>
      <c r="AR9" s="175">
        <v>2670</v>
      </c>
      <c r="AS9" s="177">
        <f t="shared" si="10"/>
        <v>0.33445692883895128</v>
      </c>
      <c r="AT9" s="178">
        <f t="shared" si="11"/>
        <v>12.5</v>
      </c>
      <c r="AU9" s="179"/>
      <c r="AV9" s="66">
        <v>0.72899999999999998</v>
      </c>
      <c r="AW9" s="175">
        <f>SUM('[4]117330'!$J$62:$K$62)</f>
        <v>87</v>
      </c>
      <c r="AX9" s="175">
        <f>SUM('[4]117330'!$J$61:$K$61)</f>
        <v>147</v>
      </c>
      <c r="AY9" s="177">
        <f t="shared" si="12"/>
        <v>0.59183673469387754</v>
      </c>
      <c r="AZ9" s="178">
        <f t="shared" si="13"/>
        <v>10.148092158674169</v>
      </c>
      <c r="BA9" s="179"/>
      <c r="BB9" s="180">
        <v>0.11</v>
      </c>
      <c r="BC9" s="175"/>
      <c r="BD9" s="175"/>
      <c r="BE9" s="177">
        <f t="shared" si="14"/>
        <v>1</v>
      </c>
      <c r="BF9" s="182">
        <v>6.25E-2</v>
      </c>
      <c r="BG9" s="179"/>
      <c r="BH9" s="180">
        <v>0.8</v>
      </c>
      <c r="BI9" s="175">
        <v>1</v>
      </c>
      <c r="BJ9" s="175">
        <v>1</v>
      </c>
      <c r="BK9" s="177">
        <f t="shared" si="15"/>
        <v>1</v>
      </c>
      <c r="BL9" s="178">
        <f t="shared" si="30"/>
        <v>12.5</v>
      </c>
      <c r="BM9" s="183"/>
      <c r="BN9" s="184"/>
      <c r="BO9" s="185">
        <f t="shared" si="16"/>
        <v>97.493771171019844</v>
      </c>
      <c r="BP9" s="186" t="str">
        <f t="shared" si="17"/>
        <v>Tramo 1: 100% C. Variable</v>
      </c>
      <c r="BQ9" s="187">
        <v>90</v>
      </c>
      <c r="CN9" s="71" t="s">
        <v>12</v>
      </c>
      <c r="CO9" s="188">
        <f t="shared" si="18"/>
        <v>0.27</v>
      </c>
      <c r="CP9" s="71">
        <f t="shared" si="18"/>
        <v>8</v>
      </c>
      <c r="CQ9" s="71">
        <f t="shared" si="18"/>
        <v>13</v>
      </c>
      <c r="CR9" s="188">
        <f t="shared" si="18"/>
        <v>0.61538461538461542</v>
      </c>
      <c r="CS9" s="189">
        <f t="shared" si="18"/>
        <v>12.5</v>
      </c>
      <c r="CT9" s="71" t="s">
        <v>12</v>
      </c>
      <c r="CU9" s="188">
        <f t="shared" si="19"/>
        <v>0.9</v>
      </c>
      <c r="CV9" s="190">
        <f t="shared" si="19"/>
        <v>2320</v>
      </c>
      <c r="CW9" s="190">
        <f t="shared" si="19"/>
        <v>2610</v>
      </c>
      <c r="CX9" s="72">
        <f t="shared" si="19"/>
        <v>0.88888888888888884</v>
      </c>
      <c r="CY9" s="191">
        <f t="shared" si="19"/>
        <v>12.345679012345679</v>
      </c>
      <c r="CZ9" s="71" t="s">
        <v>12</v>
      </c>
      <c r="DA9" s="192">
        <f t="shared" si="20"/>
        <v>0.35</v>
      </c>
      <c r="DB9" s="190">
        <f t="shared" si="20"/>
        <v>686</v>
      </c>
      <c r="DC9" s="190">
        <f t="shared" si="20"/>
        <v>1949</v>
      </c>
      <c r="DD9" s="72">
        <f t="shared" si="20"/>
        <v>0.35197537198563367</v>
      </c>
      <c r="DE9" s="191">
        <f t="shared" si="20"/>
        <v>6.25</v>
      </c>
      <c r="DF9" s="71" t="s">
        <v>12</v>
      </c>
      <c r="DG9" s="192">
        <f t="shared" si="21"/>
        <v>0.11</v>
      </c>
      <c r="DH9" s="190">
        <f t="shared" si="21"/>
        <v>39</v>
      </c>
      <c r="DI9" s="190">
        <f t="shared" si="21"/>
        <v>251.25</v>
      </c>
      <c r="DJ9" s="72">
        <f t="shared" si="21"/>
        <v>0.15522388059701492</v>
      </c>
      <c r="DK9" s="191">
        <f t="shared" si="21"/>
        <v>6.25</v>
      </c>
      <c r="DL9" s="191">
        <f t="shared" si="21"/>
        <v>12.5</v>
      </c>
      <c r="DM9" s="71" t="s">
        <v>12</v>
      </c>
      <c r="DN9" s="192">
        <f t="shared" si="22"/>
        <v>0.20899999999999999</v>
      </c>
      <c r="DO9" s="190">
        <f t="shared" si="22"/>
        <v>276</v>
      </c>
      <c r="DP9" s="190">
        <f t="shared" si="22"/>
        <v>1216</v>
      </c>
      <c r="DQ9" s="72">
        <f t="shared" si="22"/>
        <v>0.22697368421052633</v>
      </c>
      <c r="DR9" s="193">
        <f t="shared" si="22"/>
        <v>12.5</v>
      </c>
      <c r="DS9" s="71" t="s">
        <v>12</v>
      </c>
      <c r="DT9" s="194">
        <f t="shared" si="23"/>
        <v>0.67200000000000004</v>
      </c>
      <c r="DU9" s="190">
        <f t="shared" si="23"/>
        <v>748</v>
      </c>
      <c r="DV9" s="190">
        <f t="shared" si="23"/>
        <v>903</v>
      </c>
      <c r="DW9" s="188">
        <f t="shared" si="23"/>
        <v>0.82834994462901435</v>
      </c>
      <c r="DX9" s="189">
        <f t="shared" si="23"/>
        <v>12.5</v>
      </c>
      <c r="DY9" s="71" t="s">
        <v>12</v>
      </c>
      <c r="DZ9" s="192">
        <f t="shared" si="24"/>
        <v>0.28799999999999998</v>
      </c>
      <c r="EA9" s="190">
        <f t="shared" si="24"/>
        <v>893</v>
      </c>
      <c r="EB9" s="190">
        <f t="shared" si="24"/>
        <v>2670</v>
      </c>
      <c r="EC9" s="188">
        <f t="shared" si="24"/>
        <v>0.33445692883895128</v>
      </c>
      <c r="ED9" s="189">
        <f t="shared" si="24"/>
        <v>12.5</v>
      </c>
      <c r="EE9" s="71" t="s">
        <v>12</v>
      </c>
      <c r="EF9" s="192">
        <f t="shared" si="25"/>
        <v>0.72899999999999998</v>
      </c>
      <c r="EG9" s="190">
        <f t="shared" si="25"/>
        <v>87</v>
      </c>
      <c r="EH9" s="190">
        <f t="shared" si="25"/>
        <v>147</v>
      </c>
      <c r="EI9" s="72">
        <f t="shared" si="25"/>
        <v>0.59183673469387754</v>
      </c>
      <c r="EJ9" s="191">
        <f t="shared" si="25"/>
        <v>10.148092158674169</v>
      </c>
      <c r="EK9" s="71" t="s">
        <v>12</v>
      </c>
      <c r="EL9" s="192">
        <f t="shared" si="31"/>
        <v>0.8</v>
      </c>
      <c r="EM9" s="190">
        <f t="shared" si="31"/>
        <v>1</v>
      </c>
      <c r="EN9" s="190">
        <f t="shared" si="26"/>
        <v>1</v>
      </c>
      <c r="EO9" s="72">
        <f t="shared" si="26"/>
        <v>1</v>
      </c>
      <c r="EP9" s="189">
        <f t="shared" si="26"/>
        <v>12.5</v>
      </c>
      <c r="EQ9" s="196" t="s">
        <v>327</v>
      </c>
    </row>
    <row r="10" spans="1:147" ht="12.75" customHeight="1" outlineLevel="2" x14ac:dyDescent="0.2">
      <c r="A10" s="173" t="s">
        <v>217</v>
      </c>
      <c r="B10" s="71" t="s">
        <v>13</v>
      </c>
      <c r="C10" s="71" t="s">
        <v>7</v>
      </c>
      <c r="D10" s="174"/>
      <c r="E10" s="66">
        <v>0.9</v>
      </c>
      <c r="F10" s="175">
        <f>SUM('[4]117328'!$J$25:$M$25)+SUM('[4]117328'!$J$27:$M$27)</f>
        <v>15</v>
      </c>
      <c r="G10" s="176">
        <v>15</v>
      </c>
      <c r="H10" s="195">
        <f t="shared" si="0"/>
        <v>1</v>
      </c>
      <c r="I10" s="178">
        <f t="shared" si="1"/>
        <v>12.5</v>
      </c>
      <c r="J10" s="179"/>
      <c r="K10" s="180">
        <v>0.9</v>
      </c>
      <c r="L10" s="175">
        <f>SUM('[5]117328'!$B$11:$B$18)+SUM('[5]117413'!$B$11:$B$18)+SUM('[5]117414'!$B$11:$B$18)</f>
        <v>3119</v>
      </c>
      <c r="M10" s="175">
        <v>3622</v>
      </c>
      <c r="N10" s="177">
        <f t="shared" si="2"/>
        <v>0.86112644947542794</v>
      </c>
      <c r="O10" s="178">
        <f t="shared" si="3"/>
        <v>11.96008957604761</v>
      </c>
      <c r="P10" s="179"/>
      <c r="Q10" s="66">
        <v>0.26100000000000001</v>
      </c>
      <c r="R10" s="175">
        <f>SUM('[4]117328'!$F$199:$Y$199)+SUM('[4]117413'!$F$199:$Y$199)+SUM('[4]117414'!$F$199:$Y$199)</f>
        <v>744</v>
      </c>
      <c r="S10" s="175">
        <v>2384</v>
      </c>
      <c r="T10" s="177">
        <f t="shared" si="4"/>
        <v>0.31208053691275167</v>
      </c>
      <c r="U10" s="178">
        <f t="shared" si="27"/>
        <v>6.25</v>
      </c>
      <c r="V10" s="179"/>
      <c r="W10" s="66">
        <v>5.8999999999999997E-2</v>
      </c>
      <c r="X10" s="175">
        <f>SUM('[6]117328'!$S$48+'[6]117328'!$T$48)+SUM('[6]117413'!$S$48+'[6]117413'!$T$48)+SUM('[6]117414'!$S$48+'[6]117414'!$T$48)</f>
        <v>16</v>
      </c>
      <c r="Y10" s="175">
        <v>276</v>
      </c>
      <c r="Z10" s="177">
        <f t="shared" si="28"/>
        <v>5.7971014492753624E-2</v>
      </c>
      <c r="AA10" s="178">
        <f t="shared" si="5"/>
        <v>6.1409972979611895</v>
      </c>
      <c r="AB10" s="181">
        <f t="shared" si="29"/>
        <v>12.390997297961189</v>
      </c>
      <c r="AC10" s="179"/>
      <c r="AD10" s="66">
        <v>0.28000000000000003</v>
      </c>
      <c r="AE10" s="175">
        <f>'[7]117328'!$C$36+'[7]117328'!$C$37+'[7]117413'!$C$36+'[7]117413'!$C$37+'[7]117414'!$C$36+'[7]117414'!$C$37</f>
        <v>628</v>
      </c>
      <c r="AF10" s="175">
        <v>2211</v>
      </c>
      <c r="AG10" s="177">
        <f t="shared" si="6"/>
        <v>0.28403437358661238</v>
      </c>
      <c r="AH10" s="178">
        <f t="shared" si="7"/>
        <v>12.5</v>
      </c>
      <c r="AI10" s="179"/>
      <c r="AJ10" s="66">
        <v>0.77100000000000002</v>
      </c>
      <c r="AK10" s="175">
        <f>'[7]117328'!$C$63+'[7]117328'!$C$60+'[7]117328'!$C$61+'[7]117328'!$C$62+'[7]117413'!$C$63+'[7]117413'!$C$60+'[7]117413'!$C$61+'[7]117413'!$C$62+'[7]117414'!$C$63+'[7]117414'!$C$60+'[7]117414'!$C$61+'[7]117414'!$C$62</f>
        <v>1306</v>
      </c>
      <c r="AL10" s="175">
        <f>'[7]117328'!$C$17+'[7]117413'!$C$17+'[7]117414'!$C$17</f>
        <v>1498</v>
      </c>
      <c r="AM10" s="177">
        <f t="shared" si="8"/>
        <v>0.8718291054739653</v>
      </c>
      <c r="AN10" s="178">
        <f t="shared" si="9"/>
        <v>12.5</v>
      </c>
      <c r="AO10" s="179"/>
      <c r="AP10" s="66">
        <v>0.39</v>
      </c>
      <c r="AQ10" s="175">
        <f>'[7]117328'!$C$35+'[7]117328'!$C$34+'[7]117413'!$C$35+'[7]117413'!$C$34+'[7]117414'!$C$35+'[7]117414'!$C$34</f>
        <v>1489</v>
      </c>
      <c r="AR10" s="175">
        <v>4987</v>
      </c>
      <c r="AS10" s="177">
        <f t="shared" si="10"/>
        <v>0.29857629837577704</v>
      </c>
      <c r="AT10" s="178">
        <f t="shared" si="11"/>
        <v>9.5697531530697759</v>
      </c>
      <c r="AU10" s="179"/>
      <c r="AV10" s="66">
        <v>0.70399999999999996</v>
      </c>
      <c r="AW10" s="175">
        <f>SUM('[4]117328'!$J$62:$K$62)+SUM('[4]117413'!$J$62:$K$62)+SUM('[4]117414'!$J$62:$K$62)</f>
        <v>103</v>
      </c>
      <c r="AX10" s="175">
        <f>SUM('[4]117328'!$J$61:$K$61)+SUM('[4]117413'!$J$61:$K$61)+SUM('[4]117414'!$J$61:$K$61)</f>
        <v>154</v>
      </c>
      <c r="AY10" s="177">
        <f t="shared" si="12"/>
        <v>0.66883116883116878</v>
      </c>
      <c r="AZ10" s="178">
        <f t="shared" si="13"/>
        <v>11.875553423848878</v>
      </c>
      <c r="BA10" s="179"/>
      <c r="BB10" s="180">
        <v>0.16</v>
      </c>
      <c r="BC10" s="175"/>
      <c r="BD10" s="175"/>
      <c r="BE10" s="177">
        <f t="shared" si="14"/>
        <v>1</v>
      </c>
      <c r="BF10" s="182">
        <v>6.25E-2</v>
      </c>
      <c r="BG10" s="179"/>
      <c r="BH10" s="180">
        <v>0.8</v>
      </c>
      <c r="BI10" s="175">
        <v>1</v>
      </c>
      <c r="BJ10" s="175">
        <v>1</v>
      </c>
      <c r="BK10" s="177">
        <f>IF(BH10="aut",100%,IF(BJ10=0,100%,BI10/BJ10))</f>
        <v>1</v>
      </c>
      <c r="BL10" s="178">
        <f t="shared" si="30"/>
        <v>12.5</v>
      </c>
      <c r="BM10" s="183"/>
      <c r="BN10" s="184"/>
      <c r="BO10" s="185">
        <f t="shared" si="16"/>
        <v>95.796393450927454</v>
      </c>
      <c r="BP10" s="186" t="str">
        <f t="shared" si="17"/>
        <v>Tramo 1: 100% C. Variable</v>
      </c>
      <c r="BQ10" s="187">
        <v>90</v>
      </c>
      <c r="CO10" s="197">
        <v>0.9</v>
      </c>
      <c r="CP10" s="198">
        <f>SUM(CP4:CP9)</f>
        <v>50</v>
      </c>
      <c r="CQ10" s="198">
        <f>SUM(CQ4:CQ9)</f>
        <v>58</v>
      </c>
      <c r="CR10" s="199">
        <f>CP10/CQ10</f>
        <v>0.86206896551724133</v>
      </c>
      <c r="CS10" s="200">
        <f>IF(CO10="aut",$C$2,IF(CR10&gt;=CO10,$C$2,((CR10/CO10)*$C$2)))</f>
        <v>11.973180076628351</v>
      </c>
      <c r="CU10" s="197">
        <v>0.9</v>
      </c>
      <c r="CV10" s="201">
        <f>SUM(CV4:CV9)</f>
        <v>17122</v>
      </c>
      <c r="CW10" s="201">
        <f>SUM(CW4:CW9)</f>
        <v>21238</v>
      </c>
      <c r="CX10" s="202">
        <f>CV10/CW10</f>
        <v>0.80619644034278182</v>
      </c>
      <c r="CY10" s="203">
        <f>IF(CU10="aut",$C$2,IF(CX10&gt;=CU10,$C$2,((CX10/CU10)*$C$2)))</f>
        <v>11.197172782538637</v>
      </c>
      <c r="DA10" s="192">
        <f>Q10</f>
        <v>0.26100000000000001</v>
      </c>
      <c r="DB10" s="201">
        <f>SUM(DB4:DB9)</f>
        <v>5653</v>
      </c>
      <c r="DC10" s="201">
        <f>SUM(DC4:DC9)</f>
        <v>14113</v>
      </c>
      <c r="DD10" s="202">
        <f>DB10/DC10</f>
        <v>0.4005526819244668</v>
      </c>
      <c r="DE10" s="203">
        <f>IF(DA10="aut",$C$2,IF(DD10&gt;=DA10,$C$2,((DD10/DA10)*$C$2/2)))</f>
        <v>12.5</v>
      </c>
      <c r="DG10" s="197">
        <f>DH10/DI10</f>
        <v>0.17925107427869857</v>
      </c>
      <c r="DH10" s="201">
        <f>SUM(DH4:DH9)</f>
        <v>292</v>
      </c>
      <c r="DI10" s="201">
        <f>SUM(DI4:DI9)</f>
        <v>1629</v>
      </c>
      <c r="DJ10" s="202">
        <f>IFERROR(DG10/DG10,0%)</f>
        <v>1</v>
      </c>
      <c r="DK10" s="203">
        <f>IF(W10="aut",($C$2/2),IF(Z10&gt;=W10,$C$2/2,((Z10/W10)*$C$2/2)))</f>
        <v>6.1409972979611895</v>
      </c>
      <c r="DL10" s="203">
        <f>DE10+DK10</f>
        <v>18.640997297961189</v>
      </c>
      <c r="DN10" s="197">
        <v>0.28000000000000003</v>
      </c>
      <c r="DO10" s="201">
        <f>SUM(DO4:DO9)</f>
        <v>3510</v>
      </c>
      <c r="DP10" s="201">
        <f>SUM(DP4:DP9)</f>
        <v>13599</v>
      </c>
      <c r="DQ10" s="202">
        <f>DO10/DP10</f>
        <v>0.25810721376571805</v>
      </c>
      <c r="DR10" s="203">
        <f>IF(DN10="aut",$C$2,IF(DQ10&gt;=DN10,$C$2,((DQ10/DN10)*$C$2)))</f>
        <v>11.522643471683839</v>
      </c>
      <c r="DT10" s="197">
        <v>0.9</v>
      </c>
      <c r="DU10" s="201">
        <f>SUM(DU4:DU9)</f>
        <v>5587</v>
      </c>
      <c r="DV10" s="201">
        <f>SUM(DV4:DV9)</f>
        <v>8778</v>
      </c>
      <c r="DW10" s="202">
        <f>DU10/DV10</f>
        <v>0.63647755753018909</v>
      </c>
      <c r="DX10" s="203">
        <f>IF(DT10="aut",$C$2,IF(DW10&gt;=DT10,$C$2,((DW10/DT10)*$C$2)))</f>
        <v>8.8399660768081816</v>
      </c>
      <c r="DZ10" s="197">
        <v>0.43</v>
      </c>
      <c r="EA10" s="201">
        <f>SUM(EA4:EA9)</f>
        <v>10234</v>
      </c>
      <c r="EB10" s="201">
        <f>SUM(EB4:EB9)</f>
        <v>30675</v>
      </c>
      <c r="EC10" s="202">
        <f>EA10/EB10</f>
        <v>0.33362673186634068</v>
      </c>
      <c r="ED10" s="203">
        <f>IF(DZ10="aut",$C$2,IF(EC10&gt;=DZ10,$C$2,((EC10/DZ10)*$C$2)))</f>
        <v>9.6984515077424618</v>
      </c>
      <c r="EF10" s="197">
        <v>0.6</v>
      </c>
      <c r="EG10" s="201">
        <f>SUM(EG4:EG9)</f>
        <v>550</v>
      </c>
      <c r="EH10" s="201">
        <f>SUM(EH4:EH9)</f>
        <v>887</v>
      </c>
      <c r="EI10" s="202">
        <f>EG10/EH10</f>
        <v>0.62006764374295376</v>
      </c>
      <c r="EJ10" s="203">
        <f>IF(EF10="aut",$C$2,IF(EI10&gt;=EF10,$C$2,((EI10/EF10)*$C$2)))</f>
        <v>12.5</v>
      </c>
      <c r="EL10" s="197">
        <v>0.8</v>
      </c>
      <c r="EM10" s="201">
        <f>SUM(EM4:EM9)</f>
        <v>6</v>
      </c>
      <c r="EN10" s="201">
        <f>SUM(EN4:EN9)</f>
        <v>6</v>
      </c>
      <c r="EO10" s="202">
        <f>EM10/EN10</f>
        <v>1</v>
      </c>
      <c r="EP10" s="203">
        <f>IF(EL10="aut",$C$2,IF(EO10&gt;=EL10,$C$2,((EO10/EL10)*$C$2)))</f>
        <v>12.5</v>
      </c>
      <c r="EQ10" s="204">
        <f>+EP10+EJ10+ED10+DX10+DR10+DL10+CY10+CS10</f>
        <v>96.872411213362653</v>
      </c>
    </row>
    <row r="11" spans="1:147" ht="12.75" outlineLevel="2" x14ac:dyDescent="0.2">
      <c r="A11" s="173" t="s">
        <v>218</v>
      </c>
      <c r="B11" s="71" t="s">
        <v>14</v>
      </c>
      <c r="C11" s="71" t="s">
        <v>7</v>
      </c>
      <c r="D11" s="174"/>
      <c r="E11" s="66">
        <v>0.41</v>
      </c>
      <c r="F11" s="175">
        <f>SUM('[4]117331'!$J$25:$M$25)+SUM('[4]117331'!$J$27:$M$27)</f>
        <v>2</v>
      </c>
      <c r="G11" s="176">
        <v>5</v>
      </c>
      <c r="H11" s="195">
        <f t="shared" si="0"/>
        <v>0.4</v>
      </c>
      <c r="I11" s="178">
        <f t="shared" si="1"/>
        <v>12.195121951219514</v>
      </c>
      <c r="J11" s="179"/>
      <c r="K11" s="180">
        <v>0.9</v>
      </c>
      <c r="L11" s="175">
        <f>SUM('[5]117331'!$B$11:$B$18)</f>
        <v>1960</v>
      </c>
      <c r="M11" s="175">
        <v>1945</v>
      </c>
      <c r="N11" s="177">
        <f t="shared" si="2"/>
        <v>1.0077120822622108</v>
      </c>
      <c r="O11" s="178">
        <f t="shared" si="3"/>
        <v>12.5</v>
      </c>
      <c r="P11" s="179"/>
      <c r="Q11" s="66">
        <v>0.35</v>
      </c>
      <c r="R11" s="175">
        <f>SUM('[4]117331'!$F$199:$Y$199)</f>
        <v>620</v>
      </c>
      <c r="S11" s="175">
        <v>1534</v>
      </c>
      <c r="T11" s="177">
        <f t="shared" si="4"/>
        <v>0.4041720990873533</v>
      </c>
      <c r="U11" s="178">
        <f t="shared" si="27"/>
        <v>6.25</v>
      </c>
      <c r="V11" s="179"/>
      <c r="W11" s="66">
        <v>0.109</v>
      </c>
      <c r="X11" s="175">
        <f>SUM('[6]117331'!$S$48+'[6]117331'!$T$48)</f>
        <v>28</v>
      </c>
      <c r="Y11" s="175">
        <v>182.25</v>
      </c>
      <c r="Z11" s="177">
        <f t="shared" si="28"/>
        <v>0.15363511659807957</v>
      </c>
      <c r="AA11" s="178">
        <f t="shared" si="5"/>
        <v>6.25</v>
      </c>
      <c r="AB11" s="181">
        <f t="shared" si="29"/>
        <v>12.5</v>
      </c>
      <c r="AC11" s="179"/>
      <c r="AD11" s="66">
        <v>0.27800000000000002</v>
      </c>
      <c r="AE11" s="175">
        <f>'[7]117331'!$C$36+'[7]117331'!$C$37</f>
        <v>314</v>
      </c>
      <c r="AF11" s="175">
        <v>1173</v>
      </c>
      <c r="AG11" s="177">
        <f t="shared" si="6"/>
        <v>0.26768968456947995</v>
      </c>
      <c r="AH11" s="178">
        <f t="shared" si="7"/>
        <v>12.03640668028237</v>
      </c>
      <c r="AI11" s="179"/>
      <c r="AJ11" s="66">
        <v>0.89400000000000002</v>
      </c>
      <c r="AK11" s="175">
        <f>'[7]117331'!$C$63+'[7]117331'!$C$60+'[7]117331'!$C$61+'[7]117331'!$C$62</f>
        <v>682</v>
      </c>
      <c r="AL11" s="175">
        <f>'[7]117331'!$C$17</f>
        <v>777</v>
      </c>
      <c r="AM11" s="177">
        <f t="shared" si="8"/>
        <v>0.87773487773487768</v>
      </c>
      <c r="AN11" s="178">
        <f t="shared" si="9"/>
        <v>12.272579386673344</v>
      </c>
      <c r="AO11" s="179"/>
      <c r="AP11" s="66">
        <v>0.32500000000000001</v>
      </c>
      <c r="AQ11" s="175">
        <f>'[7]117331'!$C$35+'[7]117331'!$C$34</f>
        <v>890</v>
      </c>
      <c r="AR11" s="175">
        <v>2628</v>
      </c>
      <c r="AS11" s="177">
        <f t="shared" si="10"/>
        <v>0.33866057838660579</v>
      </c>
      <c r="AT11" s="178">
        <f t="shared" si="11"/>
        <v>12.5</v>
      </c>
      <c r="AU11" s="179"/>
      <c r="AV11" s="66">
        <v>0.503</v>
      </c>
      <c r="AW11" s="175">
        <f>SUM('[4]117331'!$J$62:$K$62)</f>
        <v>63</v>
      </c>
      <c r="AX11" s="175">
        <f>SUM('[4]117331'!$J$61:$K$61)</f>
        <v>114</v>
      </c>
      <c r="AY11" s="177">
        <f t="shared" si="12"/>
        <v>0.55263157894736847</v>
      </c>
      <c r="AZ11" s="178">
        <f t="shared" si="13"/>
        <v>12.5</v>
      </c>
      <c r="BA11" s="179"/>
      <c r="BB11" s="180">
        <v>0.14000000000000001</v>
      </c>
      <c r="BC11" s="175"/>
      <c r="BD11" s="175"/>
      <c r="BE11" s="177">
        <f t="shared" si="14"/>
        <v>1</v>
      </c>
      <c r="BF11" s="182">
        <v>6.25E-2</v>
      </c>
      <c r="BG11" s="179"/>
      <c r="BH11" s="180">
        <v>0.8</v>
      </c>
      <c r="BI11" s="175">
        <v>1</v>
      </c>
      <c r="BJ11" s="175">
        <v>1</v>
      </c>
      <c r="BK11" s="177">
        <f t="shared" si="15"/>
        <v>1</v>
      </c>
      <c r="BL11" s="178">
        <f t="shared" si="30"/>
        <v>12.5</v>
      </c>
      <c r="BM11" s="183"/>
      <c r="BN11" s="184"/>
      <c r="BO11" s="185">
        <f t="shared" si="16"/>
        <v>99.004108018175231</v>
      </c>
      <c r="BP11" s="186" t="str">
        <f t="shared" si="17"/>
        <v>Tramo 1: 100% C. Variable</v>
      </c>
      <c r="BQ11" s="187">
        <v>90</v>
      </c>
      <c r="CN11" s="71" t="s">
        <v>13</v>
      </c>
      <c r="CO11" s="188">
        <f t="shared" ref="CO11:CS12" si="32">E10</f>
        <v>0.9</v>
      </c>
      <c r="CP11" s="96">
        <f t="shared" si="32"/>
        <v>15</v>
      </c>
      <c r="CQ11" s="96">
        <f t="shared" si="32"/>
        <v>15</v>
      </c>
      <c r="CR11" s="188">
        <f t="shared" si="32"/>
        <v>1</v>
      </c>
      <c r="CS11" s="189">
        <f t="shared" si="32"/>
        <v>12.5</v>
      </c>
      <c r="CT11" s="71" t="s">
        <v>13</v>
      </c>
      <c r="CU11" s="188">
        <f t="shared" ref="CU11:CY12" si="33">K10</f>
        <v>0.9</v>
      </c>
      <c r="CV11" s="190">
        <f t="shared" si="33"/>
        <v>3119</v>
      </c>
      <c r="CW11" s="190">
        <f t="shared" si="33"/>
        <v>3622</v>
      </c>
      <c r="CX11" s="188">
        <f t="shared" si="33"/>
        <v>0.86112644947542794</v>
      </c>
      <c r="CY11" s="189">
        <f t="shared" si="33"/>
        <v>11.96008957604761</v>
      </c>
      <c r="CZ11" s="71" t="s">
        <v>13</v>
      </c>
      <c r="DA11" s="192">
        <f>Q11</f>
        <v>0.35</v>
      </c>
      <c r="DB11" s="190">
        <f t="shared" ref="DB11:DE12" si="34">R10</f>
        <v>744</v>
      </c>
      <c r="DC11" s="190">
        <f t="shared" si="34"/>
        <v>2384</v>
      </c>
      <c r="DD11" s="188">
        <f t="shared" si="34"/>
        <v>0.31208053691275167</v>
      </c>
      <c r="DE11" s="189">
        <f t="shared" si="34"/>
        <v>6.25</v>
      </c>
      <c r="DF11" s="71" t="s">
        <v>13</v>
      </c>
      <c r="DG11" s="192">
        <f t="shared" ref="DG11:DL11" si="35">W10</f>
        <v>5.8999999999999997E-2</v>
      </c>
      <c r="DH11" s="190">
        <f t="shared" si="35"/>
        <v>16</v>
      </c>
      <c r="DI11" s="190">
        <f t="shared" si="35"/>
        <v>276</v>
      </c>
      <c r="DJ11" s="188">
        <f t="shared" si="35"/>
        <v>5.7971014492753624E-2</v>
      </c>
      <c r="DK11" s="189">
        <f t="shared" si="35"/>
        <v>6.1409972979611895</v>
      </c>
      <c r="DL11" s="191">
        <f t="shared" si="35"/>
        <v>12.390997297961189</v>
      </c>
      <c r="DM11" s="71" t="s">
        <v>13</v>
      </c>
      <c r="DN11" s="192">
        <f>AD10</f>
        <v>0.28000000000000003</v>
      </c>
      <c r="DO11" s="190">
        <f>AE10</f>
        <v>628</v>
      </c>
      <c r="DP11" s="190">
        <f>AF10</f>
        <v>2211</v>
      </c>
      <c r="DQ11" s="188">
        <f>AG10</f>
        <v>0.28403437358661238</v>
      </c>
      <c r="DR11" s="189">
        <f>AH10</f>
        <v>12.5</v>
      </c>
      <c r="DS11" s="71" t="s">
        <v>13</v>
      </c>
      <c r="DT11" s="192">
        <f t="shared" ref="DT11:DX12" si="36">AJ10</f>
        <v>0.77100000000000002</v>
      </c>
      <c r="DU11" s="190">
        <f t="shared" si="36"/>
        <v>1306</v>
      </c>
      <c r="DV11" s="190">
        <f t="shared" si="36"/>
        <v>1498</v>
      </c>
      <c r="DW11" s="188">
        <f t="shared" si="36"/>
        <v>0.8718291054739653</v>
      </c>
      <c r="DX11" s="189">
        <f t="shared" si="36"/>
        <v>12.5</v>
      </c>
      <c r="DY11" s="71" t="s">
        <v>13</v>
      </c>
      <c r="DZ11" s="192">
        <f t="shared" ref="DZ11:ED12" si="37">AP10</f>
        <v>0.39</v>
      </c>
      <c r="EA11" s="190">
        <f t="shared" si="37"/>
        <v>1489</v>
      </c>
      <c r="EB11" s="190">
        <f t="shared" si="37"/>
        <v>4987</v>
      </c>
      <c r="EC11" s="188">
        <f t="shared" si="37"/>
        <v>0.29857629837577704</v>
      </c>
      <c r="ED11" s="189">
        <f t="shared" si="37"/>
        <v>9.5697531530697759</v>
      </c>
      <c r="EE11" s="71" t="s">
        <v>13</v>
      </c>
      <c r="EF11" s="192">
        <f t="shared" ref="EF11:EJ12" si="38">AV10</f>
        <v>0.70399999999999996</v>
      </c>
      <c r="EG11" s="190">
        <f t="shared" si="38"/>
        <v>103</v>
      </c>
      <c r="EH11" s="190">
        <f t="shared" si="38"/>
        <v>154</v>
      </c>
      <c r="EI11" s="188">
        <f t="shared" si="38"/>
        <v>0.66883116883116878</v>
      </c>
      <c r="EJ11" s="189">
        <f t="shared" si="38"/>
        <v>11.875553423848878</v>
      </c>
      <c r="EK11" s="71" t="s">
        <v>13</v>
      </c>
      <c r="EL11" s="192">
        <f t="shared" ref="EL11:EP12" si="39">BH10</f>
        <v>0.8</v>
      </c>
      <c r="EM11" s="190">
        <f t="shared" si="39"/>
        <v>1</v>
      </c>
      <c r="EN11" s="190">
        <f t="shared" si="39"/>
        <v>1</v>
      </c>
      <c r="EO11" s="188">
        <f t="shared" si="39"/>
        <v>1</v>
      </c>
      <c r="EP11" s="189">
        <f t="shared" si="39"/>
        <v>12.5</v>
      </c>
    </row>
    <row r="12" spans="1:147" ht="12.75" outlineLevel="2" x14ac:dyDescent="0.2">
      <c r="A12" s="173" t="s">
        <v>219</v>
      </c>
      <c r="B12" s="71" t="s">
        <v>15</v>
      </c>
      <c r="C12" s="71" t="s">
        <v>7</v>
      </c>
      <c r="D12" s="174"/>
      <c r="E12" s="66">
        <v>0.9</v>
      </c>
      <c r="F12" s="175">
        <f>SUM('[4]117435'!$J$25:$M$25)+SUM('[4]117435'!$J$27:$M$27)+SUM('[4]117436'!$J$25:$M$25)+SUM('[4]117436'!$J$27:$M$27)+SUM('[4]117437'!$J$25:$M$25)+SUM('[4]117437'!$J$27:$M$27)+SUM('[4]117438'!$J$25:$M$25)+SUM('[4]117438'!$J$27:$M$27)+SUM('[4]117457'!$J$25:$M$25)+SUM('[4]117457'!$J$27:$M$27)+SUM('[4]117473'!$J$25:$M$25)+SUM('[4]117473'!$J$27:$M$27)+SUM('[4]117474'!$J$25:$M$25)+SUM('[4]117474'!$J$27:$M$27)+SUM('[4]117475'!$J$25:$M$25)+SUM('[4]117475'!$J$27:$M$27)+SUM('[4]117476'!$J$25:$M$25)+SUM('[4]117476'!$J$27:$M$27)+SUM('[4]117477'!$J$25:$M$25)+SUM('[4]117477'!$J$27:$M$27)</f>
        <v>0</v>
      </c>
      <c r="G12" s="176">
        <v>1</v>
      </c>
      <c r="H12" s="195">
        <f t="shared" si="0"/>
        <v>0</v>
      </c>
      <c r="I12" s="178">
        <f t="shared" si="1"/>
        <v>0</v>
      </c>
      <c r="J12" s="179"/>
      <c r="K12" s="180">
        <v>0.9</v>
      </c>
      <c r="L12" s="175">
        <f>SUM('[5]117435'!$B$11:$B$18)+SUM('[5]117436'!$B$11:$B$18)+SUM('[5]117437'!$B$11:$B$18)+SUM('[5]117438'!$B$11:$B$18)+SUM('[5]117457'!$B$11:$B$18)+SUM('[5]117473'!$B$11:$B$18)+SUM('[5]117474'!$B$11:$B$18)+SUM('[5]117475'!$B$11:$B$18)+SUM('[5]117476'!$B$11:$B$18)+SUM('[5]117477'!$B$11:$B$18)</f>
        <v>679</v>
      </c>
      <c r="M12" s="175">
        <v>749</v>
      </c>
      <c r="N12" s="177">
        <f t="shared" si="2"/>
        <v>0.90654205607476634</v>
      </c>
      <c r="O12" s="178">
        <f t="shared" si="3"/>
        <v>12.5</v>
      </c>
      <c r="P12" s="179"/>
      <c r="Q12" s="66">
        <v>0.35</v>
      </c>
      <c r="R12" s="175">
        <f>SUM('[4]117435'!$F$199:$Y$199)+SUM('[4]117436'!$F$199:$Y$199)+SUM('[4]117437'!$F$199:$Y$199)+SUM('[4]117438'!$F$199:$Y$199)+SUM('[4]117457'!$F$199:$Y$199)+SUM('[4]117473'!$F$199:$Y$199)+SUM('[4]117474'!$F$199:$Y$199)+SUM('[4]117475'!$F$199:$Y$199)+SUM('[4]117476'!$F$199:$Y$199)+SUM('[4]117477'!$F$199:$Y$199)</f>
        <v>526</v>
      </c>
      <c r="S12" s="175">
        <v>278</v>
      </c>
      <c r="T12" s="177">
        <f t="shared" si="4"/>
        <v>1.8920863309352518</v>
      </c>
      <c r="U12" s="178">
        <f t="shared" si="27"/>
        <v>6.25</v>
      </c>
      <c r="V12" s="179"/>
      <c r="W12" s="66">
        <v>0.11</v>
      </c>
      <c r="X12" s="175">
        <f>SUM('[6]117435'!$S$48+'[6]117435'!$T$48)+SUM('[6]117436'!$S$48+'[6]117436'!$T$48)+SUM('[6]117437'!$S$48+'[6]117437'!$T$48)+SUM('[6]117438'!$S$48+'[6]117438'!$T$48)+SUM('[6]117457'!$S$48+'[6]117457'!$T$48)+SUM('[6]117473'!$S$48+'[6]117473'!$T$48)+SUM('[6]117474'!$S$48+'[6]117474'!$T$48)+SUM('[6]117475'!$S$48+'[6]117475'!$T$48)+SUM('[6]117476'!$S$48+'[6]117476'!$T$48)+SUM('[6]117477'!$S$48+'[6]117477'!$T$48)</f>
        <v>38</v>
      </c>
      <c r="Y12" s="175">
        <v>33.75</v>
      </c>
      <c r="Z12" s="177">
        <f t="shared" si="28"/>
        <v>1.125925925925926</v>
      </c>
      <c r="AA12" s="178">
        <f t="shared" si="5"/>
        <v>6.25</v>
      </c>
      <c r="AB12" s="181">
        <f t="shared" si="29"/>
        <v>12.5</v>
      </c>
      <c r="AC12" s="179"/>
      <c r="AD12" s="66">
        <v>0.215</v>
      </c>
      <c r="AE12" s="175">
        <f>'[7]117435'!$C$36+'[7]117435'!$C$37+'[7]117436'!$C$36+'[7]117436'!$C$37+'[7]117437'!$C$36+'[7]117437'!$C$37+'[7]117438'!$C$36+'[7]117438'!$C$37+'[7]117457'!$C$36+'[7]117457'!$C$37+'[7]117473'!$C$36+'[7]117473'!$C$37+'[7]117474'!$C$36+'[7]117474'!$C$37+'[7]117475'!$C$36+'[7]117475'!$C$37+'[7]117476'!$C$36+'[7]117476'!$C$37+'[7]117477'!$C$36+'[7]117477'!$C$37</f>
        <v>113</v>
      </c>
      <c r="AF12" s="175">
        <v>508</v>
      </c>
      <c r="AG12" s="177">
        <f t="shared" si="6"/>
        <v>0.22244094488188976</v>
      </c>
      <c r="AH12" s="178">
        <f t="shared" si="7"/>
        <v>12.5</v>
      </c>
      <c r="AI12" s="179"/>
      <c r="AJ12" s="66">
        <v>0.82799999999999996</v>
      </c>
      <c r="AK12" s="175">
        <f>'[7]117435'!$C$63+'[7]117435'!$C$60+'[7]117435'!$C$61+'[7]117435'!$C$62+'[7]117436'!$C$63+'[7]117436'!$C$60+'[7]117436'!$C$61+'[7]117436'!$C$62+'[7]117437'!$C$63+'[7]117437'!$C$60+'[7]117437'!$C$61+'[7]117437'!$C$62+'[7]117438'!$C$63+'[7]117438'!$C$60+'[7]117438'!$C$61+'[7]117438'!$C$62+'[7]117457'!$C$63+'[7]117457'!$C$60+'[7]117457'!$C$61+'[7]117457'!$C$62+'[7]117473'!$C$63+'[7]117473'!$C$60+'[7]117473'!$C$61+'[7]117473'!$C$62+'[7]117474'!$C$63+'[7]117474'!$C$60+'[7]117474'!$C$61+'[7]117474'!$C$62+'[7]117475'!$C$63+'[7]117475'!$C$60+'[7]117475'!$C$61+'[7]117475'!$C$62+'[7]117476'!$C$63+'[7]117476'!$C$60+'[7]117476'!$C$61+'[7]117476'!$C$62+'[7]117477'!$C$63+'[7]117477'!$C$60+'[7]117477'!$C$61+'[7]117477'!$C$62</f>
        <v>311</v>
      </c>
      <c r="AL12" s="175">
        <f>'[7]117435'!$C$17+'[7]117436'!$C$17+'[7]117437'!$C$17+'[7]117438'!$C$17+'[7]117457'!$C$17+'[7]117473'!$C$17+'[7]117474'!$C$17+'[7]117475'!$C$17+'[7]117476'!$C$17+'[7]117477'!$C$17</f>
        <v>346</v>
      </c>
      <c r="AM12" s="177">
        <f t="shared" si="8"/>
        <v>0.89884393063583812</v>
      </c>
      <c r="AN12" s="178">
        <f t="shared" si="9"/>
        <v>12.5</v>
      </c>
      <c r="AO12" s="179"/>
      <c r="AP12" s="66">
        <v>0.38900000000000001</v>
      </c>
      <c r="AQ12" s="175">
        <f>'[7]117435'!$C$35+'[7]117435'!$C$34+'[7]117436'!$C$35+'[7]117436'!$C$34+'[7]117437'!$C$35+'[7]117437'!$C$34+'[7]117438'!$C$35+'[7]117438'!$C$34+'[7]117457'!$C$35+'[7]117457'!$C$34+'[7]117473'!$C$35+'[7]117473'!$C$34+'[7]117474'!$C$35+'[7]117474'!$C$34+'[7]117475'!$C$35+'[7]117475'!$C$34+'[7]117476'!$C$35+'[7]117476'!$C$34+'[7]117477'!$C$35+'[7]117477'!$C$34</f>
        <v>527</v>
      </c>
      <c r="AR12" s="175">
        <v>1129</v>
      </c>
      <c r="AS12" s="177">
        <f t="shared" si="10"/>
        <v>0.46678476527900797</v>
      </c>
      <c r="AT12" s="178">
        <f t="shared" si="11"/>
        <v>12.5</v>
      </c>
      <c r="AU12" s="179"/>
      <c r="AV12" s="66">
        <v>0.6</v>
      </c>
      <c r="AW12" s="175">
        <f>SUM('[4]117435'!$J$62:$K$62)+SUM('[4]117436'!$J$62:$K$62)+SUM('[4]117437'!$J$62:$K$62)+SUM('[4]117438'!$J$62:$K$62)+SUM('[4]117457'!$J$62:$K$62)+SUM('[4]117473'!$J$62:$K$62)+SUM('[4]117474'!$J$62:$K$62)+SUM('[4]117475'!$J$62:$K$62)+SUM('[4]117476'!$J$62:$K$62)+SUM('[4]117477'!$J$62:$K$62)</f>
        <v>7</v>
      </c>
      <c r="AX12" s="175">
        <f>SUM('[4]117435'!$J$61:$K$61)+SUM('[4]117436'!$J$61:$K$61)+SUM('[4]117437'!$J$61:$K$61)+SUM('[4]117438'!$J$61:$K$61)+SUM('[4]117457'!$J$61:$K$61)+SUM('[4]117473'!$J$61:$K$61)+SUM('[4]117474'!$J$61:$K$61)+SUM('[4]117475'!$J$61:$K$61)+SUM('[4]117476'!$J$61:$K$61)+SUM('[4]117477'!$J$61:$K$61)</f>
        <v>9</v>
      </c>
      <c r="AY12" s="177">
        <f t="shared" si="12"/>
        <v>0.77777777777777779</v>
      </c>
      <c r="AZ12" s="178">
        <f t="shared" si="13"/>
        <v>12.5</v>
      </c>
      <c r="BA12" s="179"/>
      <c r="BB12" s="180">
        <v>0.06</v>
      </c>
      <c r="BC12" s="175"/>
      <c r="BD12" s="175"/>
      <c r="BE12" s="177">
        <f t="shared" si="14"/>
        <v>1</v>
      </c>
      <c r="BF12" s="182">
        <v>6.25E-2</v>
      </c>
      <c r="BG12" s="179"/>
      <c r="BH12" s="180">
        <v>0.8</v>
      </c>
      <c r="BI12" s="175">
        <v>1</v>
      </c>
      <c r="BJ12" s="175">
        <v>1</v>
      </c>
      <c r="BK12" s="177">
        <f t="shared" si="15"/>
        <v>1</v>
      </c>
      <c r="BL12" s="178">
        <f t="shared" si="30"/>
        <v>12.5</v>
      </c>
      <c r="BM12" s="183"/>
      <c r="BN12" s="184"/>
      <c r="BO12" s="185">
        <f>BL12+AZ12+AT12+AH12+AB12+O12+I12+AN12</f>
        <v>87.5</v>
      </c>
      <c r="BP12" s="186" t="str">
        <f t="shared" si="17"/>
        <v>Tramo 2: 50% C. Variable</v>
      </c>
      <c r="BQ12" s="187">
        <v>90</v>
      </c>
      <c r="CN12" s="71" t="s">
        <v>14</v>
      </c>
      <c r="CO12" s="188">
        <f t="shared" si="32"/>
        <v>0.41</v>
      </c>
      <c r="CP12" s="96">
        <f t="shared" si="32"/>
        <v>2</v>
      </c>
      <c r="CQ12" s="96">
        <f t="shared" si="32"/>
        <v>5</v>
      </c>
      <c r="CR12" s="188">
        <f t="shared" si="32"/>
        <v>0.4</v>
      </c>
      <c r="CS12" s="189">
        <f t="shared" si="32"/>
        <v>12.195121951219514</v>
      </c>
      <c r="CT12" s="71" t="s">
        <v>14</v>
      </c>
      <c r="CU12" s="188">
        <f t="shared" si="33"/>
        <v>0.9</v>
      </c>
      <c r="CV12" s="190">
        <f t="shared" si="33"/>
        <v>1960</v>
      </c>
      <c r="CW12" s="190">
        <f t="shared" si="33"/>
        <v>1945</v>
      </c>
      <c r="CX12" s="188">
        <f t="shared" si="33"/>
        <v>1.0077120822622108</v>
      </c>
      <c r="CY12" s="189">
        <f t="shared" si="33"/>
        <v>12.5</v>
      </c>
      <c r="CZ12" s="71" t="s">
        <v>14</v>
      </c>
      <c r="DA12" s="192">
        <f>Q12</f>
        <v>0.35</v>
      </c>
      <c r="DB12" s="190">
        <f t="shared" si="34"/>
        <v>620</v>
      </c>
      <c r="DC12" s="190">
        <f t="shared" si="34"/>
        <v>1534</v>
      </c>
      <c r="DD12" s="188">
        <f t="shared" si="34"/>
        <v>0.4041720990873533</v>
      </c>
      <c r="DE12" s="189">
        <f t="shared" si="34"/>
        <v>6.25</v>
      </c>
      <c r="DF12" s="71" t="s">
        <v>14</v>
      </c>
      <c r="DG12" s="192">
        <f>W10</f>
        <v>5.8999999999999997E-2</v>
      </c>
      <c r="DH12" s="190">
        <f>X11</f>
        <v>28</v>
      </c>
      <c r="DI12" s="190">
        <f>Y11</f>
        <v>182.25</v>
      </c>
      <c r="DJ12" s="188">
        <f>Z11</f>
        <v>0.15363511659807957</v>
      </c>
      <c r="DK12" s="189">
        <f>AA11</f>
        <v>6.25</v>
      </c>
      <c r="DL12" s="191">
        <f>AB10</f>
        <v>12.390997297961189</v>
      </c>
      <c r="DM12" s="71" t="s">
        <v>14</v>
      </c>
      <c r="DN12" s="192">
        <f>AD10</f>
        <v>0.28000000000000003</v>
      </c>
      <c r="DO12" s="190">
        <f>AE11</f>
        <v>314</v>
      </c>
      <c r="DP12" s="190">
        <f>AF11</f>
        <v>1173</v>
      </c>
      <c r="DQ12" s="188">
        <f>AG11</f>
        <v>0.26768968456947995</v>
      </c>
      <c r="DR12" s="189">
        <f>AH11</f>
        <v>12.03640668028237</v>
      </c>
      <c r="DS12" s="71" t="s">
        <v>14</v>
      </c>
      <c r="DT12" s="192">
        <f t="shared" si="36"/>
        <v>0.89400000000000002</v>
      </c>
      <c r="DU12" s="190">
        <f t="shared" si="36"/>
        <v>682</v>
      </c>
      <c r="DV12" s="190">
        <f t="shared" si="36"/>
        <v>777</v>
      </c>
      <c r="DW12" s="188">
        <f t="shared" si="36"/>
        <v>0.87773487773487768</v>
      </c>
      <c r="DX12" s="189">
        <f t="shared" si="36"/>
        <v>12.272579386673344</v>
      </c>
      <c r="DY12" s="71" t="s">
        <v>14</v>
      </c>
      <c r="DZ12" s="192">
        <f t="shared" si="37"/>
        <v>0.32500000000000001</v>
      </c>
      <c r="EA12" s="190">
        <f t="shared" si="37"/>
        <v>890</v>
      </c>
      <c r="EB12" s="190">
        <f t="shared" si="37"/>
        <v>2628</v>
      </c>
      <c r="EC12" s="188">
        <f t="shared" si="37"/>
        <v>0.33866057838660579</v>
      </c>
      <c r="ED12" s="189">
        <f t="shared" si="37"/>
        <v>12.5</v>
      </c>
      <c r="EE12" s="71" t="s">
        <v>14</v>
      </c>
      <c r="EF12" s="192">
        <f t="shared" si="38"/>
        <v>0.503</v>
      </c>
      <c r="EG12" s="190">
        <f t="shared" si="38"/>
        <v>63</v>
      </c>
      <c r="EH12" s="190">
        <f t="shared" si="38"/>
        <v>114</v>
      </c>
      <c r="EI12" s="188">
        <f t="shared" si="38"/>
        <v>0.55263157894736847</v>
      </c>
      <c r="EJ12" s="189">
        <f t="shared" si="38"/>
        <v>12.5</v>
      </c>
      <c r="EK12" s="71" t="s">
        <v>14</v>
      </c>
      <c r="EL12" s="192">
        <f t="shared" si="39"/>
        <v>0.8</v>
      </c>
      <c r="EM12" s="190">
        <f t="shared" si="39"/>
        <v>1</v>
      </c>
      <c r="EN12" s="190">
        <f t="shared" si="39"/>
        <v>1</v>
      </c>
      <c r="EO12" s="188">
        <f t="shared" si="39"/>
        <v>1</v>
      </c>
      <c r="EP12" s="189">
        <f t="shared" si="39"/>
        <v>12.5</v>
      </c>
      <c r="EQ12" s="196" t="s">
        <v>328</v>
      </c>
    </row>
    <row r="13" spans="1:147" ht="12.75" outlineLevel="2" x14ac:dyDescent="0.2">
      <c r="A13" s="173" t="s">
        <v>220</v>
      </c>
      <c r="B13" s="71" t="s">
        <v>16</v>
      </c>
      <c r="C13" s="71" t="s">
        <v>7</v>
      </c>
      <c r="D13" s="174"/>
      <c r="E13" s="66">
        <v>0.73699999999999999</v>
      </c>
      <c r="F13" s="175">
        <f>SUM('[4]117310'!$J$25:$M$25)+SUM('[4]117310'!$J$27:$M$27)+SUM('[4]117430'!$J$25:$M$25)+SUM('[4]117430'!$J$27:$M$27)+SUM('[4]117431'!$J$25:$M$25)+SUM('[4]117431'!$J$27:$M$27)</f>
        <v>6</v>
      </c>
      <c r="G13" s="176">
        <v>8</v>
      </c>
      <c r="H13" s="195">
        <f t="shared" si="0"/>
        <v>0.75</v>
      </c>
      <c r="I13" s="178">
        <f t="shared" si="1"/>
        <v>12.5</v>
      </c>
      <c r="J13" s="179"/>
      <c r="K13" s="180">
        <v>0.9</v>
      </c>
      <c r="L13" s="175">
        <f>SUM('[5]117310'!$B$11:$B$18)+SUM('[5]117430'!$B$11:$B$18)+SUM('[5]117431'!$B$11:$B$18)</f>
        <v>1314</v>
      </c>
      <c r="M13" s="175">
        <v>1416</v>
      </c>
      <c r="N13" s="177">
        <f t="shared" si="2"/>
        <v>0.92796610169491522</v>
      </c>
      <c r="O13" s="178">
        <f t="shared" si="3"/>
        <v>12.5</v>
      </c>
      <c r="P13" s="179"/>
      <c r="Q13" s="66">
        <v>0.35</v>
      </c>
      <c r="R13" s="175">
        <f>SUM('[4]117310'!$F$199:$Y$199)+SUM('[4]117430'!$F$199:$Y$199)+SUM('[4]117431'!$F$199:$Y$199)</f>
        <v>358</v>
      </c>
      <c r="S13" s="175">
        <v>910</v>
      </c>
      <c r="T13" s="177">
        <f t="shared" si="4"/>
        <v>0.3934065934065934</v>
      </c>
      <c r="U13" s="178">
        <f t="shared" si="27"/>
        <v>6.25</v>
      </c>
      <c r="V13" s="179"/>
      <c r="W13" s="66">
        <v>0.11</v>
      </c>
      <c r="X13" s="175">
        <f>SUM('[6]117310'!$S$48+'[6]117310'!$T$48)+SUM('[6]117430'!$S$48+'[6]117430'!$T$48)+SUM('[6]117431'!$S$48+'[6]117431'!$T$48)</f>
        <v>15</v>
      </c>
      <c r="Y13" s="175">
        <v>95.25</v>
      </c>
      <c r="Z13" s="177">
        <f t="shared" si="28"/>
        <v>0.15748031496062992</v>
      </c>
      <c r="AA13" s="178">
        <f t="shared" si="5"/>
        <v>6.25</v>
      </c>
      <c r="AB13" s="181">
        <f t="shared" si="29"/>
        <v>12.5</v>
      </c>
      <c r="AC13" s="179"/>
      <c r="AD13" s="66">
        <v>0.25800000000000001</v>
      </c>
      <c r="AE13" s="175">
        <f>'[7]117310'!$C$36+'[7]117310'!$C$37+'[7]117430'!$C$36+'[7]117430'!$C$37+'[7]117431'!$C$36+'[7]117431'!$C$37</f>
        <v>297</v>
      </c>
      <c r="AF13" s="175">
        <v>994</v>
      </c>
      <c r="AG13" s="177">
        <f t="shared" si="6"/>
        <v>0.29879275653923543</v>
      </c>
      <c r="AH13" s="178">
        <f t="shared" si="7"/>
        <v>12.5</v>
      </c>
      <c r="AI13" s="179"/>
      <c r="AJ13" s="66">
        <v>0.76600000000000001</v>
      </c>
      <c r="AK13" s="175">
        <f>'[7]117310'!$C$63+'[7]117310'!$C$60+'[7]117310'!$C$61+'[7]117310'!$C$62+'[7]117430'!$C$63+'[7]117430'!$C$60+'[7]117430'!$C$61+'[7]117430'!$C$62+'[7]117431'!$C$63+'[7]117431'!$C$60+'[7]117431'!$C$61+'[7]117431'!$C$62</f>
        <v>618</v>
      </c>
      <c r="AL13" s="175">
        <f>'[7]117310'!$C$17+'[7]117430'!$C$17+'[7]117431'!$C$17</f>
        <v>763</v>
      </c>
      <c r="AM13" s="177">
        <f t="shared" si="8"/>
        <v>0.80996068152031453</v>
      </c>
      <c r="AN13" s="178">
        <f t="shared" si="9"/>
        <v>12.5</v>
      </c>
      <c r="AO13" s="179"/>
      <c r="AP13" s="66">
        <v>0.50800000000000001</v>
      </c>
      <c r="AQ13" s="175">
        <f>'[7]117310'!$C$35+'[7]117310'!$C$34+'[7]117430'!$C$35+'[7]117430'!$C$34+'[7]117431'!$C$35+'[7]117431'!$C$34</f>
        <v>1397</v>
      </c>
      <c r="AR13" s="175">
        <v>2260</v>
      </c>
      <c r="AS13" s="177">
        <f t="shared" si="10"/>
        <v>0.61814159292035398</v>
      </c>
      <c r="AT13" s="178">
        <f t="shared" si="11"/>
        <v>12.5</v>
      </c>
      <c r="AU13" s="179"/>
      <c r="AV13" s="66">
        <v>0.88600000000000001</v>
      </c>
      <c r="AW13" s="175">
        <f>SUM('[4]117310'!$J$62:$K$62)+SUM('[4]117430'!$J$62:$K$62)+SUM('[4]117431'!$J$62:$K$62)</f>
        <v>34</v>
      </c>
      <c r="AX13" s="175">
        <f>SUM('[4]117310'!$J$61:$K$61)+SUM('[4]117430'!$J$61:$K$61)+SUM('[4]117431'!$J$61:$K$61)</f>
        <v>42</v>
      </c>
      <c r="AY13" s="177">
        <f t="shared" si="12"/>
        <v>0.80952380952380953</v>
      </c>
      <c r="AZ13" s="178">
        <f t="shared" si="13"/>
        <v>11.421046974094379</v>
      </c>
      <c r="BA13" s="179"/>
      <c r="BB13" s="180">
        <v>0.16</v>
      </c>
      <c r="BC13" s="175"/>
      <c r="BD13" s="175"/>
      <c r="BE13" s="177">
        <f t="shared" si="14"/>
        <v>1</v>
      </c>
      <c r="BF13" s="182">
        <v>6.25E-2</v>
      </c>
      <c r="BG13" s="179"/>
      <c r="BH13" s="180">
        <v>0.8</v>
      </c>
      <c r="BI13" s="175">
        <v>1</v>
      </c>
      <c r="BJ13" s="175">
        <v>1</v>
      </c>
      <c r="BK13" s="177">
        <f t="shared" si="15"/>
        <v>1</v>
      </c>
      <c r="BL13" s="178">
        <f t="shared" si="30"/>
        <v>12.5</v>
      </c>
      <c r="BM13" s="183"/>
      <c r="BN13" s="184"/>
      <c r="BO13" s="185">
        <f t="shared" ref="BO13:BO20" si="40">+BL13+AZ13+AT13+AH13+AB13+O13+I13+AN13</f>
        <v>98.921046974094381</v>
      </c>
      <c r="BP13" s="186" t="str">
        <f t="shared" si="17"/>
        <v>Tramo 1: 100% C. Variable</v>
      </c>
      <c r="BQ13" s="187">
        <v>90</v>
      </c>
      <c r="CO13" s="205">
        <f>SUM(CO11:CO12)</f>
        <v>1.31</v>
      </c>
      <c r="CP13" s="205">
        <f>SUM(CP11:CP12)</f>
        <v>17</v>
      </c>
      <c r="CQ13" s="205">
        <f>SUM(CQ11:CQ12)</f>
        <v>20</v>
      </c>
      <c r="CR13" s="199">
        <f>CP13/CQ13</f>
        <v>0.85</v>
      </c>
      <c r="CS13" s="200">
        <f>IF(CO13="aut",$C$2,IF(CR13&gt;=CO13,$C$2,((CR13/CO13)*$C$2)))</f>
        <v>8.1106870229007626</v>
      </c>
      <c r="CU13" s="197">
        <v>0.9</v>
      </c>
      <c r="CV13" s="201">
        <f>SUM(CV11:CV12)</f>
        <v>5079</v>
      </c>
      <c r="CW13" s="201">
        <f>SUM(CW11:CW12)</f>
        <v>5567</v>
      </c>
      <c r="CX13" s="199">
        <f>CV13/CW13</f>
        <v>0.91234057840847849</v>
      </c>
      <c r="CY13" s="200">
        <f>IF(CU13="aut",$C$2,IF(CX13&gt;=CU13,$C$2,((CX13/CU13)*$C$2)))</f>
        <v>12.5</v>
      </c>
      <c r="DA13" s="192">
        <f>Q13</f>
        <v>0.35</v>
      </c>
      <c r="DB13" s="201">
        <f>SUM(DB11:DB12)</f>
        <v>1364</v>
      </c>
      <c r="DC13" s="201">
        <f>SUM(DC11:DC12)</f>
        <v>3918</v>
      </c>
      <c r="DD13" s="199">
        <f>DB13/DC13</f>
        <v>0.34813680449208778</v>
      </c>
      <c r="DE13" s="200">
        <f>IF(DA13="aut",$C$2,IF(DD13&gt;=DA13,$C$2,((DD13/DA13)*$C$2/2)))</f>
        <v>6.2167286516444253</v>
      </c>
      <c r="DG13" s="197">
        <f>DH13/DI13</f>
        <v>9.6017457719585378E-2</v>
      </c>
      <c r="DH13" s="201">
        <f>SUM(DH11:DH12)</f>
        <v>44</v>
      </c>
      <c r="DI13" s="201">
        <f>SUM(DI11:DI12)</f>
        <v>458.25</v>
      </c>
      <c r="DJ13" s="202">
        <f>IFERROR(DG13/DG13,0%)</f>
        <v>1</v>
      </c>
      <c r="DK13" s="203">
        <f>IF(W13="aut",($C$2/2),IF(Z13&gt;=W13,$C$2/2,((Z13/W13)*$C$2/2)))</f>
        <v>6.25</v>
      </c>
      <c r="DL13" s="203">
        <f>DE13+DK13</f>
        <v>12.466728651644425</v>
      </c>
      <c r="DN13" s="197">
        <f>DO13/DP13</f>
        <v>0.27836879432624112</v>
      </c>
      <c r="DO13" s="201">
        <f>SUM(DO11:DO12)</f>
        <v>942</v>
      </c>
      <c r="DP13" s="201">
        <f>SUM(DP11:DP12)</f>
        <v>3384</v>
      </c>
      <c r="DQ13" s="199">
        <f>DO13/DP13</f>
        <v>0.27836879432624112</v>
      </c>
      <c r="DR13" s="200">
        <f>IF(DN13="aut",$C$2,IF(DQ13&gt;=DN13,$C$2,((DQ13/DN13)*$C$2)))</f>
        <v>12.5</v>
      </c>
      <c r="DT13" s="197">
        <v>0.9</v>
      </c>
      <c r="DU13" s="201">
        <f>SUM(DU11:DU12)</f>
        <v>1988</v>
      </c>
      <c r="DV13" s="201">
        <f>SUM(DV11:DV12)</f>
        <v>2275</v>
      </c>
      <c r="DW13" s="199">
        <f>DU13/DV13</f>
        <v>0.87384615384615383</v>
      </c>
      <c r="DX13" s="200">
        <f>IF(DT13="aut",$C$2,IF(DW13&gt;=DT13,$C$2,((DW13/DT13)*$C$2)))</f>
        <v>12.136752136752136</v>
      </c>
      <c r="DZ13" s="197">
        <v>0.43</v>
      </c>
      <c r="EA13" s="201">
        <f>SUM(EA11:EA12)</f>
        <v>2379</v>
      </c>
      <c r="EB13" s="201">
        <f>SUM(EB11:EB12)</f>
        <v>7615</v>
      </c>
      <c r="EC13" s="199">
        <f>EA13/EB13</f>
        <v>0.31240971766250819</v>
      </c>
      <c r="ED13" s="200">
        <f>IF(DZ13="aut",$C$2,IF(EC13&gt;=DZ13,$C$2,((EC13/DZ13)*$C$2)))</f>
        <v>9.0816778390264012</v>
      </c>
      <c r="EF13" s="197">
        <v>0.6</v>
      </c>
      <c r="EG13" s="201">
        <f>SUM(EG11:EG12)</f>
        <v>166</v>
      </c>
      <c r="EH13" s="201">
        <f>SUM(EH11:EH12)</f>
        <v>268</v>
      </c>
      <c r="EI13" s="199">
        <f>EG13/EH13</f>
        <v>0.61940298507462688</v>
      </c>
      <c r="EJ13" s="200">
        <f>IF(EF13="aut",$C$2,IF(EI13&gt;=EF13,$C$2,((EI13/EF13)*$C$2)))</f>
        <v>12.5</v>
      </c>
      <c r="EL13" s="197">
        <v>0.8</v>
      </c>
      <c r="EM13" s="201">
        <f>SUM(EM11:EM12)</f>
        <v>2</v>
      </c>
      <c r="EN13" s="201">
        <f>SUM(EN11:EN12)</f>
        <v>2</v>
      </c>
      <c r="EO13" s="199">
        <f>EM13/EN13</f>
        <v>1</v>
      </c>
      <c r="EP13" s="200">
        <f>IF(EL13="aut",$C$2,IF(EO13&gt;=EL13,$C$2,((EO13/EL13)*$C$2)))</f>
        <v>12.5</v>
      </c>
      <c r="EQ13" s="204">
        <f>+EP13+EJ13+ED13+DX13+DR13+DL13+CY13+CS13</f>
        <v>91.795845650323727</v>
      </c>
    </row>
    <row r="14" spans="1:147" ht="15" outlineLevel="2" x14ac:dyDescent="0.25">
      <c r="A14" s="173" t="s">
        <v>221</v>
      </c>
      <c r="B14" s="71" t="s">
        <v>17</v>
      </c>
      <c r="C14" s="71" t="s">
        <v>7</v>
      </c>
      <c r="D14" s="174"/>
      <c r="E14" s="66">
        <v>0.751</v>
      </c>
      <c r="F14" s="175">
        <f>SUM('[4]117317'!$J$25:$M$25)+SUM('[4]117317'!$J$27:$M$27)+SUM('[4]117409'!$J$25:$M$25)+SUM('[4]117409'!$J$27:$M$27)+SUM('[4]117469'!$J$25:$M$25)+SUM('[4]117469'!$J$27:$M$27)</f>
        <v>9</v>
      </c>
      <c r="G14" s="176">
        <v>13</v>
      </c>
      <c r="H14" s="195">
        <f>IF(E14="aut",100%,IF(G14=0,100%,F14/G14))</f>
        <v>0.69230769230769229</v>
      </c>
      <c r="I14" s="178">
        <f t="shared" si="1"/>
        <v>11.523097408583427</v>
      </c>
      <c r="J14" s="179"/>
      <c r="K14" s="180">
        <v>0.9</v>
      </c>
      <c r="L14" s="175">
        <f>SUM('[5]117317'!$B$11:$B$18)+SUM('[5]117409'!$B$11:$B$18)+SUM('[5]117469'!$B$11:$B$18)</f>
        <v>2430</v>
      </c>
      <c r="M14" s="175">
        <v>2552</v>
      </c>
      <c r="N14" s="177">
        <f t="shared" si="2"/>
        <v>0.95219435736677116</v>
      </c>
      <c r="O14" s="178">
        <f t="shared" si="3"/>
        <v>12.5</v>
      </c>
      <c r="P14" s="179"/>
      <c r="Q14" s="66">
        <v>0.35</v>
      </c>
      <c r="R14" s="175">
        <f>SUM('[4]117317'!$F$199:$Y$199)+SUM('[4]117409'!$F$199:$Y$199)+SUM('[4]117469'!$F$199:$Y$199)</f>
        <v>704</v>
      </c>
      <c r="S14" s="175">
        <v>1280</v>
      </c>
      <c r="T14" s="177">
        <f t="shared" si="4"/>
        <v>0.55000000000000004</v>
      </c>
      <c r="U14" s="178">
        <f t="shared" si="27"/>
        <v>6.25</v>
      </c>
      <c r="V14" s="179"/>
      <c r="W14" s="66">
        <v>9.5000000000000001E-2</v>
      </c>
      <c r="X14" s="175">
        <f>SUM('[6]117317'!$S$48+'[6]117317'!$T$48)+SUM('[6]117409'!$S$48+'[6]117409'!$T$48)+SUM('[6]117469'!$S$48+'[6]117469'!$T$48)</f>
        <v>47</v>
      </c>
      <c r="Y14" s="175">
        <v>146.25</v>
      </c>
      <c r="Z14" s="177">
        <f t="shared" si="28"/>
        <v>0.32136752136752139</v>
      </c>
      <c r="AA14" s="178">
        <f t="shared" si="5"/>
        <v>6.25</v>
      </c>
      <c r="AB14" s="181">
        <f t="shared" si="29"/>
        <v>12.5</v>
      </c>
      <c r="AC14" s="179"/>
      <c r="AD14" s="66">
        <v>0.28100000000000003</v>
      </c>
      <c r="AE14" s="175">
        <f>'[7]117317'!$C$36+'[7]117317'!$C$37+'[7]117409'!$C$36+'[7]117409'!$C$37+'[7]117469'!$C$36+'[7]117469'!$C$37</f>
        <v>448</v>
      </c>
      <c r="AF14" s="175">
        <v>1497</v>
      </c>
      <c r="AG14" s="177">
        <f t="shared" si="6"/>
        <v>0.29926519706078825</v>
      </c>
      <c r="AH14" s="178">
        <f t="shared" si="7"/>
        <v>12.5</v>
      </c>
      <c r="AI14" s="179"/>
      <c r="AJ14" s="66">
        <v>0.78200000000000003</v>
      </c>
      <c r="AK14" s="175">
        <f>'[7]117317'!$C$63+'[7]117317'!$C$60+'[7]117317'!$C$61+'[7]117317'!$C$62+'[7]117409'!$C$63+'[7]117409'!$C$60+'[7]117409'!$C$61+'[7]117409'!$C$62+'[7]117469'!$C$63+'[7]117469'!$C$60+'[7]117469'!$C$61+'[7]117469'!$C$62</f>
        <v>855</v>
      </c>
      <c r="AL14" s="175">
        <f>'[7]117317'!$C$17+'[7]117409'!$C$17+'[7]117469'!$C$17</f>
        <v>1192</v>
      </c>
      <c r="AM14" s="177">
        <f t="shared" si="8"/>
        <v>0.71728187919463082</v>
      </c>
      <c r="AN14" s="178">
        <f t="shared" si="9"/>
        <v>11.465503184057397</v>
      </c>
      <c r="AO14" s="179"/>
      <c r="AP14" s="66">
        <v>0.40799999999999997</v>
      </c>
      <c r="AQ14" s="175">
        <f>'[7]117317'!$C$35+'[7]117317'!$C$34+'[7]117409'!$C$35+'[7]117409'!$C$34+'[7]117469'!$C$35+'[7]117469'!$C$34</f>
        <v>1587</v>
      </c>
      <c r="AR14" s="175">
        <v>3440</v>
      </c>
      <c r="AS14" s="177">
        <f t="shared" si="10"/>
        <v>0.46133720930232558</v>
      </c>
      <c r="AT14" s="178">
        <f t="shared" si="11"/>
        <v>12.5</v>
      </c>
      <c r="AU14" s="179"/>
      <c r="AV14" s="66">
        <v>0.78</v>
      </c>
      <c r="AW14" s="175">
        <f>SUM('[4]117317'!$J$62:$K$62)+SUM('[4]117409'!$J$62:$K$62)+SUM('[4]117469'!$J$62:$K$62)</f>
        <v>53</v>
      </c>
      <c r="AX14" s="175">
        <f>SUM('[4]117317'!$J$61:$K$61)+SUM('[4]117409'!$J$61:$K$61)+SUM('[4]117469'!$J$61:$K$61)</f>
        <v>112</v>
      </c>
      <c r="AY14" s="177">
        <f t="shared" si="12"/>
        <v>0.4732142857142857</v>
      </c>
      <c r="AZ14" s="178">
        <f t="shared" si="13"/>
        <v>7.5835622710622701</v>
      </c>
      <c r="BA14" s="179"/>
      <c r="BB14" s="180">
        <v>0.2</v>
      </c>
      <c r="BC14" s="175"/>
      <c r="BD14" s="175"/>
      <c r="BE14" s="177">
        <f t="shared" si="14"/>
        <v>1</v>
      </c>
      <c r="BF14" s="182">
        <v>6.25E-2</v>
      </c>
      <c r="BG14" s="179"/>
      <c r="BH14" s="180">
        <v>0.8</v>
      </c>
      <c r="BI14" s="175">
        <v>1</v>
      </c>
      <c r="BJ14" s="175">
        <v>1</v>
      </c>
      <c r="BK14" s="177">
        <f t="shared" si="15"/>
        <v>1</v>
      </c>
      <c r="BL14" s="178">
        <f t="shared" si="30"/>
        <v>12.5</v>
      </c>
      <c r="BM14" s="183"/>
      <c r="BN14" s="184"/>
      <c r="BO14" s="185">
        <f t="shared" si="40"/>
        <v>93.072162863703099</v>
      </c>
      <c r="BP14" s="186" t="str">
        <f t="shared" si="17"/>
        <v>Tramo 1: 100% C. Variable</v>
      </c>
      <c r="BQ14" s="187">
        <v>90</v>
      </c>
      <c r="DA14"/>
    </row>
    <row r="15" spans="1:147" ht="15" outlineLevel="2" x14ac:dyDescent="0.25">
      <c r="A15" s="173" t="s">
        <v>222</v>
      </c>
      <c r="B15" s="71" t="s">
        <v>18</v>
      </c>
      <c r="C15" s="71" t="s">
        <v>7</v>
      </c>
      <c r="D15" s="174"/>
      <c r="E15" s="66">
        <v>0.79500000000000004</v>
      </c>
      <c r="F15" s="175">
        <f>SUM('[4]117306'!$J$25:$M$25)+SUM('[4]117306'!$J$27:$M$27)+SUM('[4]117706'!$J$25:$M$25)+SUM('[4]117706'!$J$27:$M$27)+SUM('[4]117448'!$J$25:$M$25)+SUM('[4]117448'!$J$27:$M$27)+SUM('[4]117449'!$J$25:$M$25)+SUM('[4]117449'!$J$27:$M$27)+SUM('[4]117472'!$J$25:$M$25)+SUM('[4]117472'!$J$27:$M$27)</f>
        <v>4</v>
      </c>
      <c r="G15" s="176">
        <v>11</v>
      </c>
      <c r="H15" s="195">
        <f>IF(E15="aut",100%,IF(G15=0,100%,F15/G15))</f>
        <v>0.36363636363636365</v>
      </c>
      <c r="I15" s="178">
        <f t="shared" si="1"/>
        <v>5.7175528873642083</v>
      </c>
      <c r="J15" s="179"/>
      <c r="K15" s="180">
        <v>0.9</v>
      </c>
      <c r="L15" s="175">
        <f>SUM('[5]117306'!$B$11:$B$18)+SUM('[5]117706'!$B$11:$B$18)+SUM('[5]117448'!$B$11:$B$18)+SUM('[5]117449'!$B$11:$B$18)+SUM('[5]117472'!$B$11:$B$18)</f>
        <v>2819</v>
      </c>
      <c r="M15" s="175">
        <v>3304</v>
      </c>
      <c r="N15" s="177">
        <f t="shared" si="2"/>
        <v>0.85320823244552058</v>
      </c>
      <c r="O15" s="178">
        <f t="shared" si="3"/>
        <v>11.850114339521118</v>
      </c>
      <c r="P15" s="179"/>
      <c r="Q15" s="66">
        <v>0.32200000000000001</v>
      </c>
      <c r="R15" s="175">
        <f>SUM('[4]117306'!$F$199:$Y$199)+SUM('[4]117706'!$F$199:$Y$199)+SUM('[4]117448'!$F$199:$Y$199)+SUM('[4]117449'!$F$199:$Y$199)+SUM('[4]117472'!$F$199:$Y$199)</f>
        <v>789</v>
      </c>
      <c r="S15" s="175">
        <v>1493</v>
      </c>
      <c r="T15" s="177">
        <f t="shared" si="4"/>
        <v>0.52846617548559949</v>
      </c>
      <c r="U15" s="178">
        <f t="shared" si="27"/>
        <v>6.25</v>
      </c>
      <c r="V15" s="179"/>
      <c r="W15" s="66">
        <v>0.11</v>
      </c>
      <c r="X15" s="175">
        <f>SUM('[6]117306'!$S$48+'[6]117306'!$T$48)+SUM('[6]117706'!$S$48+'[6]117706'!$T$48)+SUM('[6]117448'!$S$48+'[6]117448'!$T$48)+SUM('[6]117449'!$S$48+'[6]117449'!$T$48)+SUM('[6]117472'!$S$48+'[6]117472'!$T$48)</f>
        <v>42</v>
      </c>
      <c r="Y15" s="175">
        <v>204.25</v>
      </c>
      <c r="Z15" s="177">
        <f t="shared" si="28"/>
        <v>0.20563035495716034</v>
      </c>
      <c r="AA15" s="178">
        <f t="shared" si="5"/>
        <v>6.25</v>
      </c>
      <c r="AB15" s="181">
        <f t="shared" si="29"/>
        <v>12.5</v>
      </c>
      <c r="AC15" s="179"/>
      <c r="AD15" s="66">
        <v>0.20899999999999999</v>
      </c>
      <c r="AE15" s="175">
        <f>'[7]117306'!$C$36+'[7]117306'!$C$37+'[7]117706'!$C$36+'[7]117706'!$C$37+'[7]117448'!$C$36+'[7]117448'!$C$37+'[7]117449'!$C$36+'[7]117449'!$C$37+'[7]117472'!$C$36+'[7]117472'!$C$37</f>
        <v>655</v>
      </c>
      <c r="AF15" s="175">
        <v>2157</v>
      </c>
      <c r="AG15" s="177">
        <f t="shared" si="6"/>
        <v>0.30366249420491426</v>
      </c>
      <c r="AH15" s="178">
        <f t="shared" si="7"/>
        <v>12.5</v>
      </c>
      <c r="AI15" s="179"/>
      <c r="AJ15" s="66">
        <v>0.84099999999999997</v>
      </c>
      <c r="AK15" s="175">
        <f>'[7]117306'!$C$63+'[7]117306'!$C$60+'[7]117306'!$C$61+'[7]117306'!$C$62+'[7]117706'!$C$63+'[7]117706'!$C$60+'[7]117706'!$C$61+'[7]117706'!$C$62+'[7]117448'!$C$63+'[7]117448'!$C$60+'[7]117448'!$C$61+'[7]117448'!$C$62+'[7]117449'!$C$63+'[7]117449'!$C$60+'[7]117449'!$C$61+'[7]117449'!$C$62+'[7]117472'!$C$63+'[7]117472'!$C$60+'[7]117472'!$C$61+'[7]117472'!$C$62</f>
        <v>1439</v>
      </c>
      <c r="AL15" s="175">
        <f>'[7]117306'!$C$17+'[7]117706'!$C$17+'[7]117448'!$C$17+'[7]117449'!$C$17+'[7]117472'!$C$17</f>
        <v>1942</v>
      </c>
      <c r="AM15" s="177">
        <f t="shared" si="8"/>
        <v>0.74098867147270853</v>
      </c>
      <c r="AN15" s="178">
        <f t="shared" si="9"/>
        <v>11.013505818559878</v>
      </c>
      <c r="AO15" s="179"/>
      <c r="AP15" s="66">
        <v>0.377</v>
      </c>
      <c r="AQ15" s="175">
        <f>'[7]117306'!$C$35+'[7]117306'!$C$34+'[7]117706'!$C$35+'[7]117706'!$C$34+'[7]117448'!$C$35+'[7]117448'!$C$34+'[7]117449'!$C$35+'[7]117449'!$C$34+'[7]117472'!$C$35+'[7]117472'!$C$34</f>
        <v>2068</v>
      </c>
      <c r="AR15" s="175">
        <v>4946</v>
      </c>
      <c r="AS15" s="177">
        <f t="shared" si="10"/>
        <v>0.41811564900930043</v>
      </c>
      <c r="AT15" s="178">
        <f t="shared" si="11"/>
        <v>12.5</v>
      </c>
      <c r="AU15" s="179"/>
      <c r="AV15" s="66">
        <v>0.61799999999999999</v>
      </c>
      <c r="AW15" s="175">
        <f>SUM('[4]117306'!$J$62:$K$62)+SUM('[4]117706'!$J$62:$K$62)+SUM('[4]117448'!$J$62:$K$62)+SUM('[4]117449'!$J$62:$K$62)+SUM('[4]117472'!$J$62:$K$62)</f>
        <v>54</v>
      </c>
      <c r="AX15" s="175">
        <f>SUM('[4]117306'!$J$61:$K$61)+SUM('[4]117706'!$J$61:$K$61)+SUM('[4]117448'!$J$61:$K$61)+SUM('[4]117449'!$J$61:$K$61)+SUM('[4]117472'!$J$61:$K$61)</f>
        <v>114</v>
      </c>
      <c r="AY15" s="177">
        <f t="shared" si="12"/>
        <v>0.47368421052631576</v>
      </c>
      <c r="AZ15" s="178">
        <f t="shared" si="13"/>
        <v>9.5809913132345415</v>
      </c>
      <c r="BA15" s="179"/>
      <c r="BB15" s="180">
        <v>0.17</v>
      </c>
      <c r="BC15" s="175"/>
      <c r="BD15" s="175"/>
      <c r="BE15" s="177">
        <f t="shared" si="14"/>
        <v>1</v>
      </c>
      <c r="BF15" s="182">
        <v>6.25E-2</v>
      </c>
      <c r="BG15" s="179"/>
      <c r="BH15" s="180">
        <v>0.8</v>
      </c>
      <c r="BI15" s="175">
        <v>1</v>
      </c>
      <c r="BJ15" s="175">
        <v>1</v>
      </c>
      <c r="BK15" s="177">
        <f t="shared" si="15"/>
        <v>1</v>
      </c>
      <c r="BL15" s="178">
        <f t="shared" si="30"/>
        <v>12.5</v>
      </c>
      <c r="BM15" s="183"/>
      <c r="BN15" s="184"/>
      <c r="BO15" s="185">
        <f t="shared" si="40"/>
        <v>88.162164358679746</v>
      </c>
      <c r="BP15" s="186" t="str">
        <f t="shared" si="17"/>
        <v>Tramo 2: 50% C. Variable</v>
      </c>
      <c r="BQ15" s="187">
        <v>90</v>
      </c>
      <c r="DA15"/>
    </row>
    <row r="16" spans="1:147" ht="15" outlineLevel="2" x14ac:dyDescent="0.25">
      <c r="A16" s="173" t="s">
        <v>223</v>
      </c>
      <c r="B16" s="71" t="s">
        <v>19</v>
      </c>
      <c r="C16" s="71" t="s">
        <v>7</v>
      </c>
      <c r="D16" s="174"/>
      <c r="E16" s="66">
        <v>0.79500000000000004</v>
      </c>
      <c r="F16" s="175">
        <f>SUM('[4]117308'!$J$25:$M$25)+SUM('[4]117308'!$J$27:$M$27)+SUM('[4]117454'!$J$25:$M$25)+SUM('[4]117454'!$J$27:$M$27)</f>
        <v>2</v>
      </c>
      <c r="G16" s="176">
        <v>2</v>
      </c>
      <c r="H16" s="195">
        <f t="shared" si="0"/>
        <v>1</v>
      </c>
      <c r="I16" s="178">
        <f t="shared" si="1"/>
        <v>12.5</v>
      </c>
      <c r="J16" s="179"/>
      <c r="K16" s="180">
        <v>0.9</v>
      </c>
      <c r="L16" s="175">
        <f>SUM('[5]117308'!$B$11:$B$18)+SUM('[5]117454'!$B$11:$B$18)</f>
        <v>1567</v>
      </c>
      <c r="M16" s="175">
        <v>1619</v>
      </c>
      <c r="N16" s="177">
        <f t="shared" si="2"/>
        <v>0.96788140827671398</v>
      </c>
      <c r="O16" s="178">
        <f t="shared" si="3"/>
        <v>12.5</v>
      </c>
      <c r="P16" s="179"/>
      <c r="Q16" s="66">
        <v>0.35</v>
      </c>
      <c r="R16" s="175">
        <f>SUM('[4]117308'!$F$199:$Y$199)+SUM('[4]117454'!$F$199:$Y$199)</f>
        <v>359</v>
      </c>
      <c r="S16" s="175">
        <v>732</v>
      </c>
      <c r="T16" s="177">
        <f t="shared" si="4"/>
        <v>0.49043715846994534</v>
      </c>
      <c r="U16" s="178">
        <f t="shared" si="27"/>
        <v>6.25</v>
      </c>
      <c r="V16" s="179"/>
      <c r="W16" s="66">
        <v>0.11</v>
      </c>
      <c r="X16" s="175">
        <f>SUM('[6]117308'!$S$48+'[6]117308'!$T$48)+SUM('[6]117454'!$S$48+'[6]117454'!$T$48)</f>
        <v>22</v>
      </c>
      <c r="Y16" s="175">
        <v>86.5</v>
      </c>
      <c r="Z16" s="177">
        <f t="shared" si="28"/>
        <v>0.25433526011560692</v>
      </c>
      <c r="AA16" s="178">
        <f t="shared" si="5"/>
        <v>6.25</v>
      </c>
      <c r="AB16" s="181">
        <f t="shared" si="29"/>
        <v>12.5</v>
      </c>
      <c r="AC16" s="179"/>
      <c r="AD16" s="66">
        <v>0.185</v>
      </c>
      <c r="AE16" s="175">
        <f>'[7]117308'!$C$36+'[7]117308'!$C$37+'[7]117454'!$C$36+'[7]117454'!$C$37</f>
        <v>225</v>
      </c>
      <c r="AF16" s="175">
        <v>998</v>
      </c>
      <c r="AG16" s="177">
        <f t="shared" si="6"/>
        <v>0.22545090180360722</v>
      </c>
      <c r="AH16" s="178">
        <f t="shared" si="7"/>
        <v>12.5</v>
      </c>
      <c r="AI16" s="179"/>
      <c r="AJ16" s="66">
        <v>0.71099999999999997</v>
      </c>
      <c r="AK16" s="175">
        <f>'[7]117308'!$C$63+'[7]117308'!$C$60+'[7]117308'!$C$61+'[7]117308'!$C$62+'[7]117454'!$C$63+'[7]117454'!$C$60+'[7]117454'!$C$61+'[7]117454'!$C$62</f>
        <v>827</v>
      </c>
      <c r="AL16" s="175">
        <f>'[7]117308'!$C$17+'[7]117454'!$C$17</f>
        <v>844</v>
      </c>
      <c r="AM16" s="177">
        <f t="shared" si="8"/>
        <v>0.97985781990521326</v>
      </c>
      <c r="AN16" s="178">
        <f t="shared" si="9"/>
        <v>12.5</v>
      </c>
      <c r="AO16" s="179"/>
      <c r="AP16" s="66">
        <v>0.53200000000000003</v>
      </c>
      <c r="AQ16" s="175">
        <f>'[7]117308'!$C$35+'[7]117308'!$C$34+'[7]117454'!$C$35+'[7]117454'!$C$34</f>
        <v>1180</v>
      </c>
      <c r="AR16" s="175">
        <v>2291</v>
      </c>
      <c r="AS16" s="177">
        <f t="shared" si="10"/>
        <v>0.51505892623308602</v>
      </c>
      <c r="AT16" s="178">
        <f t="shared" si="11"/>
        <v>12.101948454724765</v>
      </c>
      <c r="AU16" s="179"/>
      <c r="AV16" s="66">
        <v>0.76</v>
      </c>
      <c r="AW16" s="175">
        <f>SUM('[4]117308'!$J$62:$K$62)+SUM('[4]117454'!$J$62:$K$62)</f>
        <v>27</v>
      </c>
      <c r="AX16" s="175">
        <f>SUM('[4]117308'!$J$61:$K$61)+SUM('[4]117454'!$J$61:$K$61)</f>
        <v>38</v>
      </c>
      <c r="AY16" s="177">
        <f t="shared" si="12"/>
        <v>0.71052631578947367</v>
      </c>
      <c r="AZ16" s="178">
        <f t="shared" si="13"/>
        <v>11.686288088642659</v>
      </c>
      <c r="BA16" s="179"/>
      <c r="BB16" s="180">
        <v>0.21</v>
      </c>
      <c r="BC16" s="175"/>
      <c r="BD16" s="175"/>
      <c r="BE16" s="177">
        <f>IF(BB16="aut",100%,IF(BD16=0,100%,BC16/BD16))</f>
        <v>1</v>
      </c>
      <c r="BF16" s="182">
        <v>6.25E-2</v>
      </c>
      <c r="BG16" s="179"/>
      <c r="BH16" s="180">
        <v>0.8</v>
      </c>
      <c r="BI16" s="175">
        <v>1</v>
      </c>
      <c r="BJ16" s="175">
        <v>1</v>
      </c>
      <c r="BK16" s="177">
        <f t="shared" si="15"/>
        <v>1</v>
      </c>
      <c r="BL16" s="178">
        <f t="shared" si="30"/>
        <v>12.5</v>
      </c>
      <c r="BM16" s="183"/>
      <c r="BN16" s="184"/>
      <c r="BO16" s="185">
        <f t="shared" si="40"/>
        <v>98.788236543367418</v>
      </c>
      <c r="BP16" s="186" t="str">
        <f t="shared" si="17"/>
        <v>Tramo 1: 100% C. Variable</v>
      </c>
      <c r="BQ16" s="187">
        <v>90</v>
      </c>
      <c r="DA16"/>
    </row>
    <row r="17" spans="1:147" ht="15" outlineLevel="2" x14ac:dyDescent="0.25">
      <c r="A17" s="173" t="s">
        <v>224</v>
      </c>
      <c r="B17" s="71" t="s">
        <v>20</v>
      </c>
      <c r="C17" s="71" t="s">
        <v>7</v>
      </c>
      <c r="D17" s="174"/>
      <c r="E17" s="66">
        <v>0.41</v>
      </c>
      <c r="F17" s="175">
        <f>SUM('[4]117319'!$J$25:$M$25)+SUM('[4]117319'!$J$27:$M$27)</f>
        <v>6</v>
      </c>
      <c r="G17" s="176">
        <v>5</v>
      </c>
      <c r="H17" s="195">
        <f t="shared" si="0"/>
        <v>1.2</v>
      </c>
      <c r="I17" s="178">
        <f t="shared" si="1"/>
        <v>12.5</v>
      </c>
      <c r="J17" s="179"/>
      <c r="K17" s="180">
        <v>0.9</v>
      </c>
      <c r="L17" s="175">
        <f>SUM('[5]117319'!$B$11:$B$18)</f>
        <v>713</v>
      </c>
      <c r="M17" s="175">
        <v>892</v>
      </c>
      <c r="N17" s="177">
        <f t="shared" si="2"/>
        <v>0.79932735426008972</v>
      </c>
      <c r="O17" s="178">
        <f t="shared" si="3"/>
        <v>11.101768809167913</v>
      </c>
      <c r="P17" s="179"/>
      <c r="Q17" s="66">
        <v>0.21099999999999999</v>
      </c>
      <c r="R17" s="175">
        <f>SUM('[4]117319'!$F$199:$Y$199)</f>
        <v>192</v>
      </c>
      <c r="S17" s="175">
        <v>438</v>
      </c>
      <c r="T17" s="177">
        <f t="shared" si="4"/>
        <v>0.43835616438356162</v>
      </c>
      <c r="U17" s="178">
        <f t="shared" si="27"/>
        <v>6.25</v>
      </c>
      <c r="V17" s="179"/>
      <c r="W17" s="66">
        <v>6.3E-2</v>
      </c>
      <c r="X17" s="175">
        <f>SUM('[6]117319'!$S$48+'[6]117319'!$T$48)</f>
        <v>11</v>
      </c>
      <c r="Y17" s="175">
        <v>58</v>
      </c>
      <c r="Z17" s="177">
        <f t="shared" si="28"/>
        <v>0.18965517241379309</v>
      </c>
      <c r="AA17" s="178">
        <f t="shared" si="5"/>
        <v>6.25</v>
      </c>
      <c r="AB17" s="181">
        <f t="shared" si="29"/>
        <v>12.5</v>
      </c>
      <c r="AC17" s="179"/>
      <c r="AD17" s="66">
        <v>0.189</v>
      </c>
      <c r="AE17" s="175">
        <f>'[7]117319'!$C$36+'[7]117319'!$C$37</f>
        <v>159</v>
      </c>
      <c r="AF17" s="175">
        <v>552</v>
      </c>
      <c r="AG17" s="177">
        <f t="shared" si="6"/>
        <v>0.28804347826086957</v>
      </c>
      <c r="AH17" s="178">
        <f t="shared" si="7"/>
        <v>12.5</v>
      </c>
      <c r="AI17" s="179"/>
      <c r="AJ17" s="66">
        <v>0.85499999999999998</v>
      </c>
      <c r="AK17" s="175">
        <f>'[7]117319'!$C$63+'[7]117319'!$C$60+'[7]117319'!$C$61+'[7]117319'!$C$62</f>
        <v>432</v>
      </c>
      <c r="AL17" s="175">
        <f>'[7]117319'!$C$17</f>
        <v>527</v>
      </c>
      <c r="AM17" s="177">
        <f t="shared" si="8"/>
        <v>0.81973434535104361</v>
      </c>
      <c r="AN17" s="178">
        <f t="shared" si="9"/>
        <v>11.98442025367023</v>
      </c>
      <c r="AO17" s="179"/>
      <c r="AP17" s="66">
        <v>0.33400000000000002</v>
      </c>
      <c r="AQ17" s="175">
        <f>'[7]117319'!$C$35+'[7]117319'!$C$34</f>
        <v>670</v>
      </c>
      <c r="AR17" s="175">
        <v>1263</v>
      </c>
      <c r="AS17" s="177">
        <f t="shared" si="10"/>
        <v>0.53048297703879654</v>
      </c>
      <c r="AT17" s="178">
        <f t="shared" si="11"/>
        <v>12.5</v>
      </c>
      <c r="AU17" s="179"/>
      <c r="AV17" s="66">
        <v>0.82599999999999996</v>
      </c>
      <c r="AW17" s="175">
        <f>SUM('[4]117319'!$J$62:$K$62)</f>
        <v>20</v>
      </c>
      <c r="AX17" s="175">
        <f>SUM('[4]117319'!$J$61:$K$61)</f>
        <v>29</v>
      </c>
      <c r="AY17" s="177">
        <f t="shared" si="12"/>
        <v>0.68965517241379315</v>
      </c>
      <c r="AZ17" s="178">
        <f t="shared" si="13"/>
        <v>10.436670284712367</v>
      </c>
      <c r="BA17" s="179"/>
      <c r="BB17" s="180">
        <v>0.27</v>
      </c>
      <c r="BC17" s="175"/>
      <c r="BD17" s="175"/>
      <c r="BE17" s="177">
        <f>IF(BB17="aut",100%,IF(BD17=0,100%,BC17/BD17))</f>
        <v>1</v>
      </c>
      <c r="BF17" s="182">
        <v>6.25E-2</v>
      </c>
      <c r="BG17" s="179"/>
      <c r="BH17" s="180">
        <v>0.8</v>
      </c>
      <c r="BI17" s="175">
        <v>1</v>
      </c>
      <c r="BJ17" s="175">
        <v>1</v>
      </c>
      <c r="BK17" s="177">
        <f t="shared" si="15"/>
        <v>1</v>
      </c>
      <c r="BL17" s="178">
        <f t="shared" si="30"/>
        <v>12.5</v>
      </c>
      <c r="BM17" s="183"/>
      <c r="BN17" s="184"/>
      <c r="BO17" s="185">
        <f t="shared" si="40"/>
        <v>96.022859347550508</v>
      </c>
      <c r="BP17" s="186" t="str">
        <f t="shared" si="17"/>
        <v>Tramo 1: 100% C. Variable</v>
      </c>
      <c r="BQ17" s="187">
        <v>90</v>
      </c>
      <c r="DA17"/>
    </row>
    <row r="18" spans="1:147" ht="15" outlineLevel="2" x14ac:dyDescent="0.25">
      <c r="A18" s="173" t="s">
        <v>225</v>
      </c>
      <c r="B18" s="71" t="s">
        <v>21</v>
      </c>
      <c r="C18" s="71" t="s">
        <v>7</v>
      </c>
      <c r="D18" s="174"/>
      <c r="E18" s="66">
        <v>0.48</v>
      </c>
      <c r="F18" s="175">
        <f>SUM('[4]117455'!$J$25:$M$25)+SUM('[4]117455'!$J$27:$M$27)</f>
        <v>9</v>
      </c>
      <c r="G18" s="176">
        <v>15</v>
      </c>
      <c r="H18" s="195">
        <f t="shared" si="0"/>
        <v>0.6</v>
      </c>
      <c r="I18" s="178">
        <f t="shared" si="1"/>
        <v>12.5</v>
      </c>
      <c r="J18" s="179"/>
      <c r="K18" s="180">
        <v>0.9</v>
      </c>
      <c r="L18" s="175">
        <f>SUM('[5]117455'!$B$11:$B$18)</f>
        <v>777</v>
      </c>
      <c r="M18" s="175">
        <v>805</v>
      </c>
      <c r="N18" s="177">
        <f t="shared" si="2"/>
        <v>0.9652173913043478</v>
      </c>
      <c r="O18" s="178">
        <f t="shared" si="3"/>
        <v>12.5</v>
      </c>
      <c r="P18" s="179"/>
      <c r="Q18" s="66">
        <v>0.35</v>
      </c>
      <c r="R18" s="175">
        <f>SUM('[4]117455'!$F$199:$Y$199)</f>
        <v>193</v>
      </c>
      <c r="S18" s="175">
        <v>443</v>
      </c>
      <c r="T18" s="177">
        <f t="shared" si="4"/>
        <v>0.43566591422121898</v>
      </c>
      <c r="U18" s="178">
        <f t="shared" si="27"/>
        <v>6.25</v>
      </c>
      <c r="V18" s="179"/>
      <c r="W18" s="66">
        <v>0.11</v>
      </c>
      <c r="X18" s="175">
        <f>SUM('[6]117455'!$S$48+'[6]117455'!$T$48)</f>
        <v>7</v>
      </c>
      <c r="Y18" s="175">
        <v>50.5</v>
      </c>
      <c r="Z18" s="177">
        <f t="shared" si="28"/>
        <v>0.13861386138613863</v>
      </c>
      <c r="AA18" s="178">
        <f t="shared" si="5"/>
        <v>6.25</v>
      </c>
      <c r="AB18" s="181">
        <f t="shared" si="29"/>
        <v>12.5</v>
      </c>
      <c r="AC18" s="179"/>
      <c r="AD18" s="66">
        <v>0.21299999999999999</v>
      </c>
      <c r="AE18" s="175">
        <f>'[7]117455'!$C$36+'[7]117455'!$C$37</f>
        <v>159</v>
      </c>
      <c r="AF18" s="175">
        <v>479</v>
      </c>
      <c r="AG18" s="177">
        <f t="shared" si="6"/>
        <v>0.33194154488517746</v>
      </c>
      <c r="AH18" s="178">
        <f t="shared" si="7"/>
        <v>12.5</v>
      </c>
      <c r="AI18" s="179"/>
      <c r="AJ18" s="66">
        <v>0.77500000000000002</v>
      </c>
      <c r="AK18" s="175">
        <f>'[7]117455'!$C$63+'[7]117455'!$C$60+'[7]117455'!$C$61+'[7]117455'!$C$62</f>
        <v>368</v>
      </c>
      <c r="AL18" s="175">
        <f>'[7]117455'!$C$17</f>
        <v>425</v>
      </c>
      <c r="AM18" s="177">
        <f t="shared" si="8"/>
        <v>0.86588235294117644</v>
      </c>
      <c r="AN18" s="178">
        <f t="shared" si="9"/>
        <v>12.5</v>
      </c>
      <c r="AO18" s="179"/>
      <c r="AP18" s="66">
        <v>0.311</v>
      </c>
      <c r="AQ18" s="175">
        <f>'[7]117455'!$C$35+'[7]117455'!$C$34</f>
        <v>531</v>
      </c>
      <c r="AR18" s="175">
        <v>1086</v>
      </c>
      <c r="AS18" s="177">
        <f t="shared" si="10"/>
        <v>0.4889502762430939</v>
      </c>
      <c r="AT18" s="178">
        <f t="shared" si="11"/>
        <v>12.5</v>
      </c>
      <c r="AU18" s="179"/>
      <c r="AV18" s="66">
        <v>0.92900000000000005</v>
      </c>
      <c r="AW18" s="175">
        <f>SUM('[4]117455'!$J$62:$K$62)</f>
        <v>27</v>
      </c>
      <c r="AX18" s="175">
        <f>SUM('[4]117455'!$J$61:$K$61)</f>
        <v>37</v>
      </c>
      <c r="AY18" s="177">
        <f t="shared" si="12"/>
        <v>0.72972972972972971</v>
      </c>
      <c r="AZ18" s="178">
        <f t="shared" si="13"/>
        <v>9.8187530910889365</v>
      </c>
      <c r="BA18" s="179"/>
      <c r="BB18" s="180">
        <v>0.12</v>
      </c>
      <c r="BC18" s="175"/>
      <c r="BD18" s="175"/>
      <c r="BE18" s="177">
        <f t="shared" si="14"/>
        <v>1</v>
      </c>
      <c r="BF18" s="182">
        <v>6.25E-2</v>
      </c>
      <c r="BG18" s="179"/>
      <c r="BH18" s="180">
        <v>0.8</v>
      </c>
      <c r="BI18" s="175">
        <v>1</v>
      </c>
      <c r="BJ18" s="175">
        <v>1</v>
      </c>
      <c r="BK18" s="177">
        <f t="shared" si="15"/>
        <v>1</v>
      </c>
      <c r="BL18" s="178">
        <f t="shared" si="30"/>
        <v>12.5</v>
      </c>
      <c r="BM18" s="183"/>
      <c r="BN18" s="184"/>
      <c r="BO18" s="185">
        <f t="shared" si="40"/>
        <v>97.318753091088936</v>
      </c>
      <c r="BP18" s="186" t="str">
        <f t="shared" si="17"/>
        <v>Tramo 1: 100% C. Variable</v>
      </c>
      <c r="BQ18" s="187">
        <v>90</v>
      </c>
      <c r="DA18"/>
    </row>
    <row r="19" spans="1:147" ht="15" outlineLevel="2" x14ac:dyDescent="0.25">
      <c r="A19" s="173" t="s">
        <v>226</v>
      </c>
      <c r="B19" s="71" t="s">
        <v>22</v>
      </c>
      <c r="C19" s="71" t="s">
        <v>7</v>
      </c>
      <c r="D19" s="174"/>
      <c r="E19" s="66">
        <v>0.62</v>
      </c>
      <c r="F19" s="175">
        <f>SUM('[4]117315'!$J$25:$M$25)+SUM('[4]117315'!$J$27:$M$27)+SUM('[4]117458'!$J$25:$M$25)+SUM('[4]117458'!$J$27:$M$27)</f>
        <v>0</v>
      </c>
      <c r="G19" s="176">
        <v>2</v>
      </c>
      <c r="H19" s="195">
        <f t="shared" si="0"/>
        <v>0</v>
      </c>
      <c r="I19" s="178">
        <f t="shared" si="1"/>
        <v>0</v>
      </c>
      <c r="J19" s="179"/>
      <c r="K19" s="180">
        <v>0.9</v>
      </c>
      <c r="L19" s="175">
        <f>SUM('[5]117315'!$B$11:$B$18)+SUM('[5]117458'!$B$11:$B$18)</f>
        <v>719</v>
      </c>
      <c r="M19" s="175">
        <v>912</v>
      </c>
      <c r="N19" s="177">
        <f t="shared" si="2"/>
        <v>0.78837719298245612</v>
      </c>
      <c r="O19" s="178">
        <f t="shared" si="3"/>
        <v>10.949683235867445</v>
      </c>
      <c r="P19" s="179"/>
      <c r="Q19" s="66">
        <v>0.35</v>
      </c>
      <c r="R19" s="175">
        <f>SUM('[4]117315'!$F$199:$Y$199)+SUM('[4]117458'!$F$199:$Y$199)</f>
        <v>142</v>
      </c>
      <c r="S19" s="175">
        <v>285</v>
      </c>
      <c r="T19" s="177">
        <f t="shared" si="4"/>
        <v>0.49824561403508771</v>
      </c>
      <c r="U19" s="178">
        <f t="shared" si="27"/>
        <v>6.25</v>
      </c>
      <c r="V19" s="179"/>
      <c r="W19" s="66">
        <v>0.11</v>
      </c>
      <c r="X19" s="175">
        <f>SUM('[6]117315'!$S$48+'[6]117315'!$T$48)+SUM('[6]117458'!$S$48+'[6]117458'!$T$48)</f>
        <v>5</v>
      </c>
      <c r="Y19" s="175">
        <v>43.5</v>
      </c>
      <c r="Z19" s="177">
        <f t="shared" si="28"/>
        <v>0.11494252873563218</v>
      </c>
      <c r="AA19" s="178">
        <f t="shared" si="5"/>
        <v>6.25</v>
      </c>
      <c r="AB19" s="181">
        <f t="shared" si="29"/>
        <v>12.5</v>
      </c>
      <c r="AC19" s="179"/>
      <c r="AD19" s="66">
        <v>0.26300000000000001</v>
      </c>
      <c r="AE19" s="175">
        <f>'[7]117315'!$C$36+'[7]117315'!$C$37+'[7]117458'!$C$36+'[7]117458'!$C$37</f>
        <v>129</v>
      </c>
      <c r="AF19" s="175">
        <v>716</v>
      </c>
      <c r="AG19" s="177">
        <f t="shared" si="6"/>
        <v>0.18016759776536312</v>
      </c>
      <c r="AH19" s="178">
        <f t="shared" si="7"/>
        <v>8.5630987531066118</v>
      </c>
      <c r="AI19" s="179"/>
      <c r="AJ19" s="66">
        <v>0.77500000000000002</v>
      </c>
      <c r="AK19" s="175">
        <f>'[7]117315'!$C$63+'[7]117315'!$C$60+'[7]117315'!$C$61+'[7]117315'!$C$62+'[7]117458'!$C$63+'[7]117458'!$C$60+'[7]117458'!$C$61+'[7]117458'!$C$62</f>
        <v>373</v>
      </c>
      <c r="AL19" s="175">
        <f>'[7]117315'!$C$17+'[7]117458'!$C$17</f>
        <v>421</v>
      </c>
      <c r="AM19" s="177">
        <f t="shared" si="8"/>
        <v>0.88598574821852727</v>
      </c>
      <c r="AN19" s="178">
        <f t="shared" si="9"/>
        <v>12.5</v>
      </c>
      <c r="AO19" s="179"/>
      <c r="AP19" s="66">
        <v>0.39800000000000002</v>
      </c>
      <c r="AQ19" s="175">
        <f>'[7]117315'!$C$35+'[7]117315'!$C$34+'[7]117458'!$C$35+'[7]117458'!$C$34</f>
        <v>653</v>
      </c>
      <c r="AR19" s="175">
        <v>1650</v>
      </c>
      <c r="AS19" s="177">
        <f t="shared" si="10"/>
        <v>0.39575757575757575</v>
      </c>
      <c r="AT19" s="178">
        <f t="shared" si="11"/>
        <v>12.429572102938936</v>
      </c>
      <c r="AU19" s="179"/>
      <c r="AV19" s="66">
        <v>0.19600000000000001</v>
      </c>
      <c r="AW19" s="175">
        <f>SUM('[4]117315'!$J$62:$K$62)+SUM('[4]117458'!$J$62:$K$62)</f>
        <v>9</v>
      </c>
      <c r="AX19" s="175">
        <f>SUM('[4]117315'!$J$61:$K$61)+SUM('[4]117458'!$J$61:$K$61)</f>
        <v>16</v>
      </c>
      <c r="AY19" s="177">
        <f t="shared" si="12"/>
        <v>0.5625</v>
      </c>
      <c r="AZ19" s="178">
        <f t="shared" si="13"/>
        <v>12.5</v>
      </c>
      <c r="BA19" s="179"/>
      <c r="BB19" s="180">
        <v>0.19</v>
      </c>
      <c r="BC19" s="175"/>
      <c r="BD19" s="175"/>
      <c r="BE19" s="177">
        <f t="shared" si="14"/>
        <v>1</v>
      </c>
      <c r="BF19" s="182">
        <v>6.25E-2</v>
      </c>
      <c r="BG19" s="179"/>
      <c r="BH19" s="180">
        <v>0.8</v>
      </c>
      <c r="BI19" s="175">
        <v>1</v>
      </c>
      <c r="BJ19" s="175">
        <v>1</v>
      </c>
      <c r="BK19" s="177">
        <f t="shared" si="15"/>
        <v>1</v>
      </c>
      <c r="BL19" s="178">
        <f t="shared" si="30"/>
        <v>12.5</v>
      </c>
      <c r="BM19" s="183"/>
      <c r="BN19" s="184"/>
      <c r="BO19" s="185">
        <f t="shared" si="40"/>
        <v>81.942354091912989</v>
      </c>
      <c r="BP19" s="186" t="str">
        <f t="shared" si="17"/>
        <v>Tramo 2: 50% C. Variable</v>
      </c>
      <c r="BQ19" s="187">
        <v>90</v>
      </c>
      <c r="DA19"/>
    </row>
    <row r="20" spans="1:147" ht="15" outlineLevel="2" x14ac:dyDescent="0.25">
      <c r="A20" s="173" t="s">
        <v>210</v>
      </c>
      <c r="B20" s="71" t="s">
        <v>23</v>
      </c>
      <c r="C20" s="71" t="s">
        <v>7</v>
      </c>
      <c r="D20" s="174"/>
      <c r="E20" s="66">
        <v>0.38700000000000001</v>
      </c>
      <c r="F20" s="175">
        <f>SUM('[4]117326'!$J$25:$M$25)+SUM('[4]117326'!$J$27:$M$27)+SUM('[4]117426'!$J$25:$M$25)+SUM('[4]117426'!$J$27:$M$27)</f>
        <v>8</v>
      </c>
      <c r="G20" s="176">
        <v>7</v>
      </c>
      <c r="H20" s="195">
        <f t="shared" si="0"/>
        <v>1.1428571428571428</v>
      </c>
      <c r="I20" s="178">
        <f t="shared" si="1"/>
        <v>12.5</v>
      </c>
      <c r="J20" s="179"/>
      <c r="K20" s="180">
        <v>0.9</v>
      </c>
      <c r="L20" s="175">
        <f>SUM('[5]117326'!$B$11:$B$18)+SUM('[5]117426'!$B$11:$B$18)</f>
        <v>1740</v>
      </c>
      <c r="M20" s="175">
        <v>1916</v>
      </c>
      <c r="N20" s="177">
        <f t="shared" si="2"/>
        <v>0.90814196242171186</v>
      </c>
      <c r="O20" s="178">
        <f t="shared" si="3"/>
        <v>12.5</v>
      </c>
      <c r="P20" s="179"/>
      <c r="Q20" s="66">
        <v>0.34699999999999998</v>
      </c>
      <c r="R20" s="175">
        <f>SUM('[4]117326'!$F$199:$Y$199)+SUM('[4]117426'!$F$199:$Y$199)</f>
        <v>331</v>
      </c>
      <c r="S20" s="175">
        <v>728</v>
      </c>
      <c r="T20" s="177">
        <f t="shared" si="4"/>
        <v>0.45467032967032966</v>
      </c>
      <c r="U20" s="178">
        <f t="shared" si="27"/>
        <v>6.25</v>
      </c>
      <c r="V20" s="179"/>
      <c r="W20" s="66">
        <v>0.10199999999999999</v>
      </c>
      <c r="X20" s="175">
        <f>SUM('[6]117326'!$S$48+'[6]117326'!$T$48)+SUM('[6]117426'!$S$48+'[6]117426'!$T$48)</f>
        <v>20</v>
      </c>
      <c r="Y20" s="175">
        <v>99</v>
      </c>
      <c r="Z20" s="177">
        <f t="shared" si="28"/>
        <v>0.20202020202020202</v>
      </c>
      <c r="AA20" s="178">
        <f t="shared" si="5"/>
        <v>6.25</v>
      </c>
      <c r="AB20" s="181">
        <f t="shared" si="29"/>
        <v>12.5</v>
      </c>
      <c r="AC20" s="179"/>
      <c r="AD20" s="66">
        <v>0.219</v>
      </c>
      <c r="AE20" s="175">
        <f>'[7]117326'!$C$36+'[7]117326'!$C$37+'[7]117426'!$C$36+'[7]117426'!$C$37</f>
        <v>269</v>
      </c>
      <c r="AF20" s="175">
        <v>1030</v>
      </c>
      <c r="AG20" s="177">
        <f t="shared" si="6"/>
        <v>0.26116504854368933</v>
      </c>
      <c r="AH20" s="178">
        <f t="shared" si="7"/>
        <v>12.5</v>
      </c>
      <c r="AI20" s="179"/>
      <c r="AJ20" s="66">
        <v>0.81100000000000005</v>
      </c>
      <c r="AK20" s="175">
        <f>'[7]117326'!$C$63+'[7]117326'!$C$60+'[7]117326'!$C$61+'[7]117326'!$C$62+'[7]117426'!$C$63+'[7]117426'!$C$60+'[7]117426'!$C$61+'[7]117426'!$C$62</f>
        <v>767</v>
      </c>
      <c r="AL20" s="175">
        <f>'[7]117326'!$C$17+'[7]117426'!$C$17</f>
        <v>838</v>
      </c>
      <c r="AM20" s="177">
        <f t="shared" si="8"/>
        <v>0.91527446300715987</v>
      </c>
      <c r="AN20" s="178">
        <f t="shared" si="9"/>
        <v>12.5</v>
      </c>
      <c r="AO20" s="179"/>
      <c r="AP20" s="66">
        <v>0.34599999999999997</v>
      </c>
      <c r="AQ20" s="175">
        <f>'[7]117326'!$C$35+'[7]117326'!$C$34+'[7]117426'!$C$35+'[7]117426'!$C$34</f>
        <v>1046</v>
      </c>
      <c r="AR20" s="175">
        <v>2354</v>
      </c>
      <c r="AS20" s="177">
        <f t="shared" si="10"/>
        <v>0.44435004248088361</v>
      </c>
      <c r="AT20" s="178">
        <f t="shared" si="11"/>
        <v>12.5</v>
      </c>
      <c r="AU20" s="179"/>
      <c r="AV20" s="66">
        <v>0.63300000000000001</v>
      </c>
      <c r="AW20" s="175">
        <f>SUM('[4]117326'!$J$62:$K$62)+SUM('[4]117426'!$J$62:$K$62)</f>
        <v>50</v>
      </c>
      <c r="AX20" s="175">
        <f>SUM('[4]117326'!$J$61:$K$61)+SUM('[4]117426'!$J$61:$K$61)</f>
        <v>87</v>
      </c>
      <c r="AY20" s="177">
        <f t="shared" si="12"/>
        <v>0.57471264367816088</v>
      </c>
      <c r="AZ20" s="178">
        <f t="shared" si="13"/>
        <v>11.348985854624031</v>
      </c>
      <c r="BA20" s="179"/>
      <c r="BB20" s="180">
        <v>0.12</v>
      </c>
      <c r="BC20" s="175"/>
      <c r="BD20" s="175"/>
      <c r="BE20" s="177">
        <f t="shared" si="14"/>
        <v>1</v>
      </c>
      <c r="BF20" s="182">
        <v>6.25E-2</v>
      </c>
      <c r="BG20" s="179"/>
      <c r="BH20" s="180">
        <v>0.8</v>
      </c>
      <c r="BI20" s="175">
        <v>1</v>
      </c>
      <c r="BJ20" s="175">
        <v>1</v>
      </c>
      <c r="BK20" s="177">
        <f t="shared" si="15"/>
        <v>1</v>
      </c>
      <c r="BL20" s="178">
        <f t="shared" si="30"/>
        <v>12.5</v>
      </c>
      <c r="BM20" s="183"/>
      <c r="BN20" s="184"/>
      <c r="BO20" s="185">
        <f t="shared" si="40"/>
        <v>98.848985854624033</v>
      </c>
      <c r="BP20" s="186" t="str">
        <f t="shared" si="17"/>
        <v>Tramo 1: 100% C. Variable</v>
      </c>
      <c r="BQ20" s="187">
        <v>90</v>
      </c>
      <c r="DA20"/>
    </row>
    <row r="21" spans="1:147" ht="15" outlineLevel="1" x14ac:dyDescent="0.25">
      <c r="A21" s="173"/>
      <c r="B21" s="93"/>
      <c r="C21" s="73" t="s">
        <v>7</v>
      </c>
      <c r="D21" s="206"/>
      <c r="E21" s="207" t="s">
        <v>7</v>
      </c>
      <c r="F21" s="116">
        <f>SUM(F4:F20)</f>
        <v>111</v>
      </c>
      <c r="G21" s="116">
        <f>SUM(G4:G20)</f>
        <v>142</v>
      </c>
      <c r="H21" s="63">
        <f>IFERROR(F21/G21,"")</f>
        <v>0.78169014084507038</v>
      </c>
      <c r="I21" s="208"/>
      <c r="J21" s="179"/>
      <c r="K21" s="209" t="s">
        <v>7</v>
      </c>
      <c r="L21" s="116">
        <f>SUM(L4:L20)</f>
        <v>34959</v>
      </c>
      <c r="M21" s="116">
        <f>SUM(M4:M20)</f>
        <v>40970</v>
      </c>
      <c r="N21" s="63">
        <f>IFERROR(L21/M21,"")</f>
        <v>0.85328288991945322</v>
      </c>
      <c r="O21" s="208"/>
      <c r="P21" s="179"/>
      <c r="Q21" s="73" t="s">
        <v>7</v>
      </c>
      <c r="R21" s="116">
        <f>SUM(R4:R20)</f>
        <v>10611</v>
      </c>
      <c r="S21" s="116">
        <f>SUM(S4:S20)</f>
        <v>24618</v>
      </c>
      <c r="T21" s="63">
        <f>IFERROR(R21/S21,"")</f>
        <v>0.43102607847916158</v>
      </c>
      <c r="U21" s="208"/>
      <c r="V21" s="179"/>
      <c r="W21" s="209" t="s">
        <v>7</v>
      </c>
      <c r="X21" s="116">
        <f>SUM(X4:X20)</f>
        <v>543</v>
      </c>
      <c r="Y21" s="116">
        <f>SUM(Y4:Y20)</f>
        <v>2904.25</v>
      </c>
      <c r="Z21" s="63">
        <f>IFERROR(X21/Y21,"")</f>
        <v>0.18696737539812344</v>
      </c>
      <c r="AA21" s="208"/>
      <c r="AB21" s="208"/>
      <c r="AC21" s="179"/>
      <c r="AD21" s="209" t="s">
        <v>7</v>
      </c>
      <c r="AE21" s="116">
        <f>SUM(AE4:AE20)</f>
        <v>6906</v>
      </c>
      <c r="AF21" s="116">
        <f>SUM(AF4:AF20)</f>
        <v>25914</v>
      </c>
      <c r="AG21" s="63">
        <f>IFERROR(AE21/AF21,"")</f>
        <v>0.26649687427645286</v>
      </c>
      <c r="AH21" s="63"/>
      <c r="AI21" s="210"/>
      <c r="AJ21" s="209" t="s">
        <v>7</v>
      </c>
      <c r="AK21" s="116">
        <f>SUM(AK4:AK20)</f>
        <v>13565</v>
      </c>
      <c r="AL21" s="116">
        <f>SUM(AL4:AL20)</f>
        <v>18351</v>
      </c>
      <c r="AM21" s="63">
        <f>IFERROR(AK21/AL21,"")</f>
        <v>0.73919677401776474</v>
      </c>
      <c r="AN21" s="63"/>
      <c r="AO21" s="210"/>
      <c r="AP21" s="209" t="s">
        <v>7</v>
      </c>
      <c r="AQ21" s="116">
        <f>SUM(AQ4:AQ20)</f>
        <v>22272</v>
      </c>
      <c r="AR21" s="116">
        <f>SUM(AR4:AR20)</f>
        <v>58709</v>
      </c>
      <c r="AS21" s="63">
        <f>IFERROR(AQ21/AR21,"")</f>
        <v>0.37936261901923046</v>
      </c>
      <c r="AT21" s="63"/>
      <c r="AU21" s="210"/>
      <c r="AV21" s="209" t="s">
        <v>7</v>
      </c>
      <c r="AW21" s="116">
        <f>SUM(AW4:AW20)</f>
        <v>997</v>
      </c>
      <c r="AX21" s="116">
        <f>SUM(AX4:AX20)</f>
        <v>1639</v>
      </c>
      <c r="AY21" s="63">
        <f>IFERROR(AW21/AX21,"")</f>
        <v>0.6082977425259305</v>
      </c>
      <c r="AZ21" s="63"/>
      <c r="BA21" s="210"/>
      <c r="BB21" s="209" t="s">
        <v>7</v>
      </c>
      <c r="BC21" s="116">
        <f>SUM(BC4:BC20)</f>
        <v>0</v>
      </c>
      <c r="BD21" s="116">
        <f>SUM(BD4:BD20)</f>
        <v>0</v>
      </c>
      <c r="BE21" s="63" t="str">
        <f>IFERROR(BC21/BD21,"")</f>
        <v/>
      </c>
      <c r="BF21" s="211"/>
      <c r="BG21" s="210"/>
      <c r="BH21" s="209" t="s">
        <v>7</v>
      </c>
      <c r="BI21" s="116">
        <f>SUM(BI4:BI20)</f>
        <v>17</v>
      </c>
      <c r="BJ21" s="116">
        <f>SUM(BJ4:BJ20)</f>
        <v>17</v>
      </c>
      <c r="BK21" s="63">
        <f>IFERROR(BI21/BJ21,"")</f>
        <v>1</v>
      </c>
      <c r="BL21" s="211"/>
      <c r="BM21" s="211"/>
      <c r="BN21" s="184"/>
      <c r="BO21" s="212"/>
      <c r="BP21" s="92"/>
      <c r="BQ21" s="187">
        <v>90</v>
      </c>
      <c r="DA21"/>
    </row>
    <row r="22" spans="1:147" ht="15" outlineLevel="2" x14ac:dyDescent="0.25">
      <c r="A22" s="173" t="s">
        <v>234</v>
      </c>
      <c r="B22" s="71" t="s">
        <v>24</v>
      </c>
      <c r="C22" s="71" t="s">
        <v>25</v>
      </c>
      <c r="D22" s="174"/>
      <c r="E22" s="66">
        <v>0.9</v>
      </c>
      <c r="F22" s="175">
        <f>SUM('[4]117307'!$J$25:$M$25)+SUM('[4]117307'!$J$27:$M$27)+SUM('[4]117451'!$J$25:$M$25)+SUM('[4]117451'!$J$27:$M$27)+SUM('[4]117452'!$J$25:$M$25)+SUM('[4]117452'!$J$27:$M$27)</f>
        <v>3</v>
      </c>
      <c r="G22" s="176">
        <v>4</v>
      </c>
      <c r="H22" s="177">
        <f t="shared" ref="H22:H28" si="41">IF(E22="aut",100%,IF(G22=0,100%,F22/G22))</f>
        <v>0.75</v>
      </c>
      <c r="I22" s="178">
        <f t="shared" ref="I22:I28" si="42">IF(E22="aut",$C$2,IF(H22&gt;=E22,$C$2,((H22/E22)*$C$2)))</f>
        <v>10.416666666666666</v>
      </c>
      <c r="J22" s="179"/>
      <c r="K22" s="180">
        <v>0.9</v>
      </c>
      <c r="L22" s="175">
        <f>SUM('[5]117307'!$B$11:$B$18)+SUM('[5]117451'!$B$11:$B$18)+SUM('[5]117452'!$B$11:$B$18)</f>
        <v>789</v>
      </c>
      <c r="M22" s="175">
        <v>941</v>
      </c>
      <c r="N22" s="177">
        <f t="shared" ref="N22:N28" si="43">IF(K22="aut",100%,IF(M22=0,100%,L22/M22))</f>
        <v>0.83846971307120088</v>
      </c>
      <c r="O22" s="178">
        <f t="shared" ref="O22:O28" si="44">IF(K22="aut",$C$2,IF(N22&gt;=K22,$C$2,((N22/K22)*$C$2)))</f>
        <v>11.645412681544457</v>
      </c>
      <c r="P22" s="179"/>
      <c r="Q22" s="66">
        <v>0.35</v>
      </c>
      <c r="R22" s="175">
        <f>SUM('[4]117307'!$F$199:$Y$199)+SUM('[4]117451'!$F$199:$Y$199)+SUM('[4]117452'!$F$199:$Y$199)</f>
        <v>173</v>
      </c>
      <c r="S22" s="175">
        <v>447</v>
      </c>
      <c r="T22" s="177">
        <f t="shared" ref="T22:T28" si="45">IF(Q22="aut",100%,IF(S22=0,100%,R22/S22))</f>
        <v>0.38702460850111858</v>
      </c>
      <c r="U22" s="178">
        <f t="shared" si="27"/>
        <v>6.25</v>
      </c>
      <c r="V22" s="179"/>
      <c r="W22" s="66">
        <v>0.11</v>
      </c>
      <c r="X22" s="175">
        <f>SUM('[6]117307'!$S$48+'[6]117307'!$T$48)+SUM('[6]117451'!$S$48+'[6]117451'!$T$48)+SUM('[6]117452'!$S$48+'[6]117452'!$T$48)</f>
        <v>8</v>
      </c>
      <c r="Y22" s="175">
        <v>52.75</v>
      </c>
      <c r="Z22" s="177">
        <f t="shared" si="28"/>
        <v>0.15165876777251186</v>
      </c>
      <c r="AA22" s="178">
        <f t="shared" ref="AA22:AA28" si="46">IF(W22="aut",($C$2/2),IF(Z22&gt;=W22,$C$2/2,((Z22/W22)*$C$2/2)))</f>
        <v>6.25</v>
      </c>
      <c r="AB22" s="181">
        <f t="shared" si="29"/>
        <v>12.5</v>
      </c>
      <c r="AC22" s="179"/>
      <c r="AD22" s="66">
        <v>0.22600000000000001</v>
      </c>
      <c r="AE22" s="175">
        <f>'[7]117307'!$C$36+'[7]117307'!$C$37+'[7]117451'!$C$36+'[7]117451'!$C$37+'[7]117452'!$C$36+'[7]117452'!$C$37</f>
        <v>241</v>
      </c>
      <c r="AF22" s="175">
        <v>718</v>
      </c>
      <c r="AG22" s="177">
        <f t="shared" si="6"/>
        <v>0.33565459610027853</v>
      </c>
      <c r="AH22" s="178">
        <f t="shared" ref="AH22:AH28" si="47">IF(AD22="aut",$C$2,IF(AG22&gt;=AD22,$C$2,((AG22/AD22)*$C$2)))</f>
        <v>12.5</v>
      </c>
      <c r="AI22" s="179"/>
      <c r="AJ22" s="66">
        <v>0.80300000000000005</v>
      </c>
      <c r="AK22" s="175">
        <f>'[7]117307'!$C$63+'[7]117307'!$C$60+'[7]117307'!$C$61+'[7]117307'!$C$62+'[7]117451'!$C$63+'[7]117451'!$C$60+'[7]117451'!$C$61+'[7]117451'!$C$62+'[7]117452'!$C$63+'[7]117452'!$C$60+'[7]117452'!$C$61+'[7]117452'!$C$62</f>
        <v>450</v>
      </c>
      <c r="AL22" s="175">
        <f>'[7]117307'!$C$17+'[7]117451'!$C$17+'[7]117452'!$C$17</f>
        <v>481</v>
      </c>
      <c r="AM22" s="177">
        <f t="shared" si="8"/>
        <v>0.9355509355509356</v>
      </c>
      <c r="AN22" s="178">
        <f t="shared" ref="AN22:AN28" si="48">IF(AJ22="aut",$C$2,IF(AM22&gt;=AJ22,$C$2,((AM22/AJ22)*$C$2)))</f>
        <v>12.5</v>
      </c>
      <c r="AO22" s="179"/>
      <c r="AP22" s="66">
        <v>0.34100000000000003</v>
      </c>
      <c r="AQ22" s="175">
        <f>'[7]117307'!$C$35+'[7]117307'!$C$34+'[7]117451'!$C$35+'[7]117451'!$C$34+'[7]117452'!$C$35+'[7]117452'!$C$34</f>
        <v>876</v>
      </c>
      <c r="AR22" s="175">
        <v>1653</v>
      </c>
      <c r="AS22" s="177">
        <f t="shared" si="10"/>
        <v>0.52994555353901995</v>
      </c>
      <c r="AT22" s="178">
        <f t="shared" ref="AT22:AT28" si="49">IF(AP22="aut",$C$2,IF(AS22&gt;=AP22,$C$2,((AS22/AP22)*$C$2)))</f>
        <v>12.5</v>
      </c>
      <c r="AU22" s="179"/>
      <c r="AV22" s="66">
        <v>0.73099999999999998</v>
      </c>
      <c r="AW22" s="175">
        <f>SUM('[4]117307'!$J$62:$K$62)+SUM('[4]117451'!$J$62:$K$62)+SUM('[4]117452'!$J$62:$K$62)</f>
        <v>18</v>
      </c>
      <c r="AX22" s="175">
        <f>SUM('[4]117307'!$J$61:$K$61)+SUM('[4]117451'!$J$61:$K$61)+SUM('[4]117452'!$J$61:$K$61)</f>
        <v>21</v>
      </c>
      <c r="AY22" s="177">
        <f t="shared" si="12"/>
        <v>0.8571428571428571</v>
      </c>
      <c r="AZ22" s="178">
        <f t="shared" ref="AZ22:AZ28" si="50">IF(AV22="aut",$C$2,IF(AY22&gt;=AV22,$C$2,((AY22/AV22)*$C$2)))</f>
        <v>12.5</v>
      </c>
      <c r="BA22" s="179"/>
      <c r="BB22" s="180">
        <v>0.27</v>
      </c>
      <c r="BC22" s="175"/>
      <c r="BD22" s="175"/>
      <c r="BE22" s="177">
        <f t="shared" ref="BE22:BE28" si="51">IF(BB22="aut",100%,IF(BD22=0,100%,BC22/BD22))</f>
        <v>1</v>
      </c>
      <c r="BF22" s="182">
        <v>6.25E-2</v>
      </c>
      <c r="BG22" s="179"/>
      <c r="BH22" s="180">
        <v>0.8</v>
      </c>
      <c r="BI22" s="175">
        <v>1</v>
      </c>
      <c r="BJ22" s="175">
        <v>1</v>
      </c>
      <c r="BK22" s="177">
        <f t="shared" ref="BK22:BK28" si="52">IF(BH22="aut",100%,IF(BJ22=0,100%,BI22/BJ22))</f>
        <v>1</v>
      </c>
      <c r="BL22" s="178">
        <f t="shared" si="30"/>
        <v>12.5</v>
      </c>
      <c r="BM22" s="183"/>
      <c r="BN22" s="184"/>
      <c r="BO22" s="185">
        <f t="shared" ref="BO22:BO28" si="53">+BL22+AZ22+AT22+AH22+AB22+O22+I22+AN22</f>
        <v>97.062079348211128</v>
      </c>
      <c r="BP22" s="186" t="str">
        <f t="shared" ref="BP22:BP28" si="54">IF(BO22&gt;=90,"Tramo 1: 100% C. Variable",IF(AND(BO22&gt;=75,BO22&lt;90),"Tramo 2: 50% C. Variable",IF(BO22&lt;75,"Tramo 3: Sin Asig. C. Variable")))</f>
        <v>Tramo 1: 100% C. Variable</v>
      </c>
      <c r="BQ22" s="187">
        <v>90</v>
      </c>
      <c r="DA22"/>
    </row>
    <row r="23" spans="1:147" ht="15" outlineLevel="2" x14ac:dyDescent="0.25">
      <c r="A23" s="173" t="s">
        <v>235</v>
      </c>
      <c r="B23" s="71" t="s">
        <v>26</v>
      </c>
      <c r="C23" s="71" t="s">
        <v>25</v>
      </c>
      <c r="D23" s="174"/>
      <c r="E23" s="66">
        <v>0.62</v>
      </c>
      <c r="F23" s="175">
        <f>SUM('[4]117439'!$J$25:$M$25)+SUM('[4]117439'!$J$27:$M$27)+SUM('[4]117442'!$J$25:$M$25)+SUM('[4]117442'!$J$27:$M$27)+SUM('[4]117445'!$J$25:$M$25)+SUM('[4]117445'!$J$27:$M$27)</f>
        <v>1</v>
      </c>
      <c r="G23" s="176">
        <v>4</v>
      </c>
      <c r="H23" s="177">
        <f t="shared" si="41"/>
        <v>0.25</v>
      </c>
      <c r="I23" s="178">
        <f t="shared" si="42"/>
        <v>5.0403225806451619</v>
      </c>
      <c r="J23" s="179"/>
      <c r="K23" s="180">
        <v>0.9</v>
      </c>
      <c r="L23" s="175">
        <f>SUM('[5]117439'!$B$11:$B$18)+SUM('[5]117442'!$B$11:$B$18)+SUM('[5]117445'!$B$11:$B$18)</f>
        <v>299</v>
      </c>
      <c r="M23" s="175">
        <v>420</v>
      </c>
      <c r="N23" s="177">
        <f t="shared" si="43"/>
        <v>0.71190476190476193</v>
      </c>
      <c r="O23" s="178">
        <f t="shared" si="44"/>
        <v>9.8875661375661377</v>
      </c>
      <c r="P23" s="179"/>
      <c r="Q23" s="66">
        <v>0.35</v>
      </c>
      <c r="R23" s="175">
        <f>SUM('[4]117439'!$F$199:$Y$199)+SUM('[4]117442'!$F$199:$Y$199)+SUM('[4]117445'!$F$199:$Y$199)</f>
        <v>102</v>
      </c>
      <c r="S23" s="175">
        <v>244</v>
      </c>
      <c r="T23" s="177">
        <f t="shared" si="45"/>
        <v>0.41803278688524592</v>
      </c>
      <c r="U23" s="178">
        <f t="shared" si="27"/>
        <v>6.25</v>
      </c>
      <c r="V23" s="179"/>
      <c r="W23" s="66">
        <v>0.11</v>
      </c>
      <c r="X23" s="175">
        <f>SUM('[6]117439'!$S$48+'[6]117439'!$T$48)+SUM('[6]117442'!$S$48+'[6]117442'!$T$48)+SUM('[6]117445'!$S$48+'[6]117445'!$T$48)</f>
        <v>7</v>
      </c>
      <c r="Y23" s="175">
        <v>31.25</v>
      </c>
      <c r="Z23" s="177">
        <f t="shared" si="28"/>
        <v>0.224</v>
      </c>
      <c r="AA23" s="178">
        <f t="shared" si="46"/>
        <v>6.25</v>
      </c>
      <c r="AB23" s="181">
        <f t="shared" si="29"/>
        <v>12.5</v>
      </c>
      <c r="AC23" s="179"/>
      <c r="AD23" s="66">
        <v>0.22900000000000001</v>
      </c>
      <c r="AE23" s="175">
        <f>'[7]117439'!$C$36+'[7]117439'!$C$37+'[7]117442'!$C$36+'[7]117442'!$C$37+'[7]117445'!$C$36+'[7]117445'!$C$37</f>
        <v>138</v>
      </c>
      <c r="AF23" s="175">
        <v>380</v>
      </c>
      <c r="AG23" s="177">
        <f t="shared" si="6"/>
        <v>0.36315789473684212</v>
      </c>
      <c r="AH23" s="178">
        <f t="shared" si="47"/>
        <v>12.5</v>
      </c>
      <c r="AI23" s="179"/>
      <c r="AJ23" s="66">
        <v>0.61</v>
      </c>
      <c r="AK23" s="175">
        <f>'[7]117439'!$C$63+'[7]117439'!$C$60+'[7]117439'!$C$61+'[7]117439'!$C$62+'[7]117442'!$C$63+'[7]117442'!$C$60+'[7]117442'!$C$61+'[7]117442'!$C$62+'[7]117445'!$C$63+'[7]117445'!$C$60+'[7]117445'!$C$61+'[7]117445'!$C$62</f>
        <v>218</v>
      </c>
      <c r="AL23" s="175">
        <f>'[7]117439'!$C$17+'[7]117442'!$C$17+'[7]117445'!$C$17</f>
        <v>298</v>
      </c>
      <c r="AM23" s="177">
        <f t="shared" si="8"/>
        <v>0.73154362416107388</v>
      </c>
      <c r="AN23" s="178">
        <f t="shared" si="48"/>
        <v>12.5</v>
      </c>
      <c r="AO23" s="179"/>
      <c r="AP23" s="66">
        <v>0.45300000000000001</v>
      </c>
      <c r="AQ23" s="175">
        <f>'[7]117439'!$C$35+'[7]117439'!$C$34+'[7]117442'!$C$35+'[7]117442'!$C$34+'[7]117445'!$C$35+'[7]117445'!$C$34</f>
        <v>409</v>
      </c>
      <c r="AR23" s="175">
        <v>873</v>
      </c>
      <c r="AS23" s="177">
        <f t="shared" si="10"/>
        <v>0.46849942726231386</v>
      </c>
      <c r="AT23" s="178">
        <f t="shared" si="49"/>
        <v>12.5</v>
      </c>
      <c r="AU23" s="179"/>
      <c r="AV23" s="66">
        <v>0.6</v>
      </c>
      <c r="AW23" s="175">
        <f>SUM('[4]117439'!$J$62:$K$62)+SUM('[4]117442'!$J$62:$K$62)+SUM('[4]117445'!$J$62:$K$62)</f>
        <v>3</v>
      </c>
      <c r="AX23" s="175">
        <f>SUM('[4]117439'!$J$61:$K$61)+SUM('[4]117442'!$J$61:$K$61)+SUM('[4]117445'!$J$61:$K$61)</f>
        <v>4</v>
      </c>
      <c r="AY23" s="177">
        <f t="shared" si="12"/>
        <v>0.75</v>
      </c>
      <c r="AZ23" s="178">
        <f t="shared" si="50"/>
        <v>12.5</v>
      </c>
      <c r="BA23" s="179"/>
      <c r="BB23" s="180">
        <v>0.2</v>
      </c>
      <c r="BC23" s="175"/>
      <c r="BD23" s="175"/>
      <c r="BE23" s="177">
        <f t="shared" si="51"/>
        <v>1</v>
      </c>
      <c r="BF23" s="182">
        <v>6.25E-2</v>
      </c>
      <c r="BG23" s="179"/>
      <c r="BH23" s="180">
        <v>0.8</v>
      </c>
      <c r="BI23" s="175">
        <v>1</v>
      </c>
      <c r="BJ23" s="175">
        <v>1</v>
      </c>
      <c r="BK23" s="177">
        <f t="shared" si="52"/>
        <v>1</v>
      </c>
      <c r="BL23" s="178">
        <f t="shared" si="30"/>
        <v>12.5</v>
      </c>
      <c r="BM23" s="183"/>
      <c r="BN23" s="184"/>
      <c r="BO23" s="185">
        <f t="shared" si="53"/>
        <v>89.927888718211307</v>
      </c>
      <c r="BP23" s="186" t="str">
        <f t="shared" si="54"/>
        <v>Tramo 2: 50% C. Variable</v>
      </c>
      <c r="BQ23" s="187">
        <v>90</v>
      </c>
      <c r="DA23"/>
    </row>
    <row r="24" spans="1:147" ht="15" outlineLevel="2" x14ac:dyDescent="0.25">
      <c r="A24" s="173" t="s">
        <v>236</v>
      </c>
      <c r="B24" s="71" t="s">
        <v>27</v>
      </c>
      <c r="C24" s="71" t="s">
        <v>25</v>
      </c>
      <c r="D24" s="174"/>
      <c r="E24" s="66">
        <v>0.79500000000000004</v>
      </c>
      <c r="F24" s="175">
        <f>SUM('[4]117314'!$J$25:$M$25)+SUM('[4]117314'!$J$27:$M$27)+SUM('[4]117433'!$J$25:$M$25)+SUM('[4]117433'!$J$27:$M$27)+SUM('[4]117463'!$J$25:$M$25)+SUM('[4]117463'!$J$27:$M$27)</f>
        <v>5</v>
      </c>
      <c r="G24" s="176">
        <v>4</v>
      </c>
      <c r="H24" s="177">
        <f t="shared" si="41"/>
        <v>1.25</v>
      </c>
      <c r="I24" s="178">
        <f t="shared" si="42"/>
        <v>12.5</v>
      </c>
      <c r="J24" s="179"/>
      <c r="K24" s="180">
        <v>0.9</v>
      </c>
      <c r="L24" s="175">
        <f>SUM('[5]117314'!$B$11:$B$18)+SUM('[5]117433'!$B$11:$B$18)+SUM('[5]117463'!$B$11:$B$18)</f>
        <v>989</v>
      </c>
      <c r="M24" s="175">
        <v>1078</v>
      </c>
      <c r="N24" s="177">
        <f t="shared" si="43"/>
        <v>0.91743970315398882</v>
      </c>
      <c r="O24" s="178">
        <f t="shared" si="44"/>
        <v>12.5</v>
      </c>
      <c r="P24" s="179"/>
      <c r="Q24" s="66">
        <v>0.35</v>
      </c>
      <c r="R24" s="175">
        <f>SUM('[4]117314'!$F$199:$Y$199)+SUM('[4]117433'!$F$199:$Y$199)+SUM('[4]117463'!$F$199:$Y$199)</f>
        <v>389</v>
      </c>
      <c r="S24" s="175">
        <v>435</v>
      </c>
      <c r="T24" s="177">
        <f t="shared" si="45"/>
        <v>0.89425287356321836</v>
      </c>
      <c r="U24" s="178">
        <f t="shared" si="27"/>
        <v>6.25</v>
      </c>
      <c r="V24" s="179"/>
      <c r="W24" s="66">
        <v>0.11</v>
      </c>
      <c r="X24" s="175">
        <f>SUM('[6]117314'!$S$48+'[6]117314'!$T$48)+SUM('[6]117433'!$S$48+'[6]117433'!$T$48)+SUM('[6]117463'!$S$48+'[6]117463'!$T$48)</f>
        <v>19</v>
      </c>
      <c r="Y24" s="175">
        <v>53.5</v>
      </c>
      <c r="Z24" s="177">
        <f t="shared" si="28"/>
        <v>0.35514018691588783</v>
      </c>
      <c r="AA24" s="178">
        <f t="shared" si="46"/>
        <v>6.25</v>
      </c>
      <c r="AB24" s="181">
        <f t="shared" si="29"/>
        <v>12.5</v>
      </c>
      <c r="AC24" s="179"/>
      <c r="AD24" s="66">
        <v>0.3</v>
      </c>
      <c r="AE24" s="175">
        <f>'[7]117314'!$C$36+'[7]117314'!$C$37+'[7]117433'!$C$36+'[7]117433'!$C$37+'[7]117463'!$C$36+'[7]117463'!$C$37</f>
        <v>260</v>
      </c>
      <c r="AF24" s="175">
        <v>745</v>
      </c>
      <c r="AG24" s="177">
        <f t="shared" si="6"/>
        <v>0.34899328859060402</v>
      </c>
      <c r="AH24" s="178">
        <f t="shared" si="47"/>
        <v>12.5</v>
      </c>
      <c r="AI24" s="179"/>
      <c r="AJ24" s="66">
        <v>0.872</v>
      </c>
      <c r="AK24" s="175">
        <f>'[7]117314'!$C$63+'[7]117314'!$C$60+'[7]117314'!$C$61+'[7]117314'!$C$62+'[7]117433'!$C$63+'[7]117433'!$C$60+'[7]117433'!$C$61+'[7]117433'!$C$62+'[7]117463'!$C$63+'[7]117463'!$C$60+'[7]117463'!$C$61+'[7]117463'!$C$62</f>
        <v>690</v>
      </c>
      <c r="AL24" s="175">
        <f>'[7]117314'!$C$17+'[7]117433'!$C$17+'[7]117463'!$C$17</f>
        <v>754</v>
      </c>
      <c r="AM24" s="177">
        <f t="shared" si="8"/>
        <v>0.91511936339522548</v>
      </c>
      <c r="AN24" s="178">
        <f t="shared" si="48"/>
        <v>12.5</v>
      </c>
      <c r="AO24" s="179"/>
      <c r="AP24" s="66">
        <v>0.48399999999999999</v>
      </c>
      <c r="AQ24" s="175">
        <f>'[7]117314'!$C$35+'[7]117314'!$C$34+'[7]117433'!$C$35+'[7]117433'!$C$34+'[7]117463'!$C$35+'[7]117463'!$C$34</f>
        <v>959</v>
      </c>
      <c r="AR24" s="175">
        <v>1717</v>
      </c>
      <c r="AS24" s="177">
        <f t="shared" si="10"/>
        <v>0.55853232382061735</v>
      </c>
      <c r="AT24" s="178">
        <f t="shared" si="49"/>
        <v>12.5</v>
      </c>
      <c r="AU24" s="179"/>
      <c r="AV24" s="66">
        <v>0.56200000000000006</v>
      </c>
      <c r="AW24" s="175">
        <f>SUM('[4]117314'!$J$62:$K$62)+SUM('[4]117433'!$J$62:$K$62)+SUM('[4]117463'!$J$62:$K$62)</f>
        <v>21</v>
      </c>
      <c r="AX24" s="175">
        <f>SUM('[4]117314'!$J$61:$K$61)+SUM('[4]117433'!$J$61:$K$61)+SUM('[4]117463'!$J$61:$K$61)</f>
        <v>35</v>
      </c>
      <c r="AY24" s="177">
        <f t="shared" si="12"/>
        <v>0.6</v>
      </c>
      <c r="AZ24" s="178">
        <f t="shared" si="50"/>
        <v>12.5</v>
      </c>
      <c r="BA24" s="179"/>
      <c r="BB24" s="180">
        <v>0.31</v>
      </c>
      <c r="BC24" s="175"/>
      <c r="BD24" s="175"/>
      <c r="BE24" s="177">
        <f t="shared" si="51"/>
        <v>1</v>
      </c>
      <c r="BF24" s="182">
        <v>6.25E-2</v>
      </c>
      <c r="BG24" s="179"/>
      <c r="BH24" s="180">
        <v>0.8</v>
      </c>
      <c r="BI24" s="175">
        <v>1</v>
      </c>
      <c r="BJ24" s="175">
        <v>1</v>
      </c>
      <c r="BK24" s="177">
        <f t="shared" si="52"/>
        <v>1</v>
      </c>
      <c r="BL24" s="178">
        <f t="shared" si="30"/>
        <v>12.5</v>
      </c>
      <c r="BM24" s="183"/>
      <c r="BN24" s="184"/>
      <c r="BO24" s="185">
        <f t="shared" si="53"/>
        <v>100</v>
      </c>
      <c r="BP24" s="186" t="str">
        <f t="shared" si="54"/>
        <v>Tramo 1: 100% C. Variable</v>
      </c>
      <c r="BQ24" s="187">
        <v>90</v>
      </c>
      <c r="DA24"/>
    </row>
    <row r="25" spans="1:147" ht="15" outlineLevel="2" x14ac:dyDescent="0.25">
      <c r="A25" s="173" t="s">
        <v>237</v>
      </c>
      <c r="B25" s="71" t="s">
        <v>28</v>
      </c>
      <c r="C25" s="71" t="s">
        <v>25</v>
      </c>
      <c r="D25" s="174"/>
      <c r="E25" s="66">
        <v>0.9</v>
      </c>
      <c r="F25" s="175">
        <f>SUM('[4]117305'!$J$25:$M$25)+SUM('[4]117305'!$J$27:$M$27)+SUM('[4]117447'!$J$25:$M$25)+SUM('[4]117447'!$J$27:$M$27)+SUM('[4]117459'!$J$25:$M$25)+SUM('[4]117459'!$J$27:$M$27)</f>
        <v>2</v>
      </c>
      <c r="G25" s="176">
        <v>2</v>
      </c>
      <c r="H25" s="177">
        <f t="shared" si="41"/>
        <v>1</v>
      </c>
      <c r="I25" s="178">
        <f t="shared" si="42"/>
        <v>12.5</v>
      </c>
      <c r="J25" s="179"/>
      <c r="K25" s="180">
        <v>0.9</v>
      </c>
      <c r="L25" s="175">
        <f>SUM('[5]117305'!$B$11:$B$18)+SUM('[5]117447'!$B$11:$B$18)+SUM('[5]117459'!$B$11:$B$18)</f>
        <v>948</v>
      </c>
      <c r="M25" s="175">
        <v>1082</v>
      </c>
      <c r="N25" s="177">
        <f t="shared" si="43"/>
        <v>0.87615526802218113</v>
      </c>
      <c r="O25" s="178">
        <f t="shared" si="44"/>
        <v>12.168823166974738</v>
      </c>
      <c r="P25" s="179"/>
      <c r="Q25" s="66">
        <v>0.35</v>
      </c>
      <c r="R25" s="175">
        <f>SUM('[4]117305'!$F$199:$Y$199)+SUM('[4]117447'!$F$199:$Y$199)+SUM('[4]117459'!$F$199:$Y$199)</f>
        <v>194</v>
      </c>
      <c r="S25" s="175">
        <v>436</v>
      </c>
      <c r="T25" s="177">
        <f t="shared" si="45"/>
        <v>0.44495412844036697</v>
      </c>
      <c r="U25" s="178">
        <f t="shared" si="27"/>
        <v>6.25</v>
      </c>
      <c r="V25" s="179"/>
      <c r="W25" s="66">
        <v>0.11</v>
      </c>
      <c r="X25" s="175">
        <f>SUM('[6]117305'!$S$48+'[6]117305'!$T$48)+SUM('[6]117447'!$S$48+'[6]117447'!$T$48)+SUM('[6]117459'!$S$48+'[6]117459'!$T$48)</f>
        <v>11</v>
      </c>
      <c r="Y25" s="175">
        <v>50.5</v>
      </c>
      <c r="Z25" s="177">
        <f t="shared" si="28"/>
        <v>0.21782178217821782</v>
      </c>
      <c r="AA25" s="178">
        <f t="shared" si="46"/>
        <v>6.25</v>
      </c>
      <c r="AB25" s="181">
        <f t="shared" si="29"/>
        <v>12.5</v>
      </c>
      <c r="AC25" s="179"/>
      <c r="AD25" s="66">
        <v>0.246</v>
      </c>
      <c r="AE25" s="175">
        <f>'[7]117305'!$C$36+'[7]117305'!$C$37+'[7]117447'!$C$36+'[7]117447'!$C$37+'[7]117459'!$C$36+'[7]117459'!$C$37</f>
        <v>397</v>
      </c>
      <c r="AF25" s="175">
        <v>682</v>
      </c>
      <c r="AG25" s="177">
        <f t="shared" si="6"/>
        <v>0.58211143695014667</v>
      </c>
      <c r="AH25" s="178">
        <f t="shared" si="47"/>
        <v>12.5</v>
      </c>
      <c r="AI25" s="179"/>
      <c r="AJ25" s="66">
        <v>0.83399999999999996</v>
      </c>
      <c r="AK25" s="175">
        <f>'[7]117305'!$C$63+'[7]117305'!$C$60+'[7]117305'!$C$61+'[7]117305'!$C$62+'[7]117447'!$C$63+'[7]117447'!$C$60+'[7]117447'!$C$61+'[7]117447'!$C$62+'[7]117459'!$C$63+'[7]117459'!$C$60+'[7]117459'!$C$61+'[7]117459'!$C$62</f>
        <v>622</v>
      </c>
      <c r="AL25" s="175">
        <f>'[7]117305'!$C$17+'[7]117447'!$C$17+'[7]117459'!$C$17</f>
        <v>718</v>
      </c>
      <c r="AM25" s="177">
        <f t="shared" si="8"/>
        <v>0.86629526462395545</v>
      </c>
      <c r="AN25" s="178">
        <f t="shared" si="48"/>
        <v>12.5</v>
      </c>
      <c r="AO25" s="179"/>
      <c r="AP25" s="66">
        <v>0.53600000000000003</v>
      </c>
      <c r="AQ25" s="175">
        <f>'[7]117305'!$C$35+'[7]117305'!$C$34+'[7]117447'!$C$35+'[7]117447'!$C$34+'[7]117459'!$C$35+'[7]117459'!$C$34</f>
        <v>799</v>
      </c>
      <c r="AR25" s="175">
        <v>1580</v>
      </c>
      <c r="AS25" s="177">
        <f t="shared" si="10"/>
        <v>0.5056962025316456</v>
      </c>
      <c r="AT25" s="178">
        <f t="shared" si="49"/>
        <v>11.793288305308899</v>
      </c>
      <c r="AU25" s="179"/>
      <c r="AV25" s="66">
        <v>0.73899999999999999</v>
      </c>
      <c r="AW25" s="175">
        <f>SUM('[4]117305'!$J$62:$K$62)+SUM('[4]117447'!$J$62:$K$62)+SUM('[4]117459'!$J$62:$K$62)</f>
        <v>15</v>
      </c>
      <c r="AX25" s="175">
        <f>SUM('[4]117305'!$J$61:$K$61)+SUM('[4]117447'!$J$61:$K$61)+SUM('[4]117459'!$J$61:$K$61)</f>
        <v>20</v>
      </c>
      <c r="AY25" s="177">
        <f t="shared" si="12"/>
        <v>0.75</v>
      </c>
      <c r="AZ25" s="178">
        <f t="shared" si="50"/>
        <v>12.5</v>
      </c>
      <c r="BA25" s="179"/>
      <c r="BB25" s="180">
        <v>0.37</v>
      </c>
      <c r="BC25" s="175"/>
      <c r="BD25" s="175"/>
      <c r="BE25" s="177">
        <f t="shared" si="51"/>
        <v>1</v>
      </c>
      <c r="BF25" s="182">
        <v>6.25E-2</v>
      </c>
      <c r="BG25" s="179"/>
      <c r="BH25" s="180">
        <v>0.8</v>
      </c>
      <c r="BI25" s="175">
        <v>1</v>
      </c>
      <c r="BJ25" s="175">
        <v>1</v>
      </c>
      <c r="BK25" s="177">
        <f t="shared" si="52"/>
        <v>1</v>
      </c>
      <c r="BL25" s="178">
        <f t="shared" si="30"/>
        <v>12.5</v>
      </c>
      <c r="BM25" s="183"/>
      <c r="BN25" s="184"/>
      <c r="BO25" s="185">
        <f t="shared" si="53"/>
        <v>98.962111472283638</v>
      </c>
      <c r="BP25" s="186" t="str">
        <f t="shared" si="54"/>
        <v>Tramo 1: 100% C. Variable</v>
      </c>
      <c r="BQ25" s="187">
        <v>90</v>
      </c>
      <c r="DA25"/>
    </row>
    <row r="26" spans="1:147" ht="15" outlineLevel="2" x14ac:dyDescent="0.25">
      <c r="A26" s="173"/>
      <c r="B26" s="71" t="s">
        <v>29</v>
      </c>
      <c r="C26" s="71" t="s">
        <v>25</v>
      </c>
      <c r="D26" s="174"/>
      <c r="E26" s="66">
        <v>0.9</v>
      </c>
      <c r="F26" s="175">
        <f>SUM('[4]117434'!$J$25:$M$25)+SUM('[4]117434'!$J$27:$M$27)</f>
        <v>0</v>
      </c>
      <c r="G26" s="176">
        <v>0</v>
      </c>
      <c r="H26" s="177">
        <f t="shared" si="41"/>
        <v>1</v>
      </c>
      <c r="I26" s="178">
        <f t="shared" si="42"/>
        <v>12.5</v>
      </c>
      <c r="J26" s="179"/>
      <c r="K26" s="213" t="s">
        <v>73</v>
      </c>
      <c r="L26" s="175"/>
      <c r="M26" s="175" t="s">
        <v>74</v>
      </c>
      <c r="N26" s="177">
        <f t="shared" si="43"/>
        <v>1</v>
      </c>
      <c r="O26" s="178">
        <f t="shared" si="44"/>
        <v>12.5</v>
      </c>
      <c r="P26" s="179"/>
      <c r="Q26" s="213" t="s">
        <v>73</v>
      </c>
      <c r="R26" s="175"/>
      <c r="S26" s="175" t="s">
        <v>74</v>
      </c>
      <c r="T26" s="177">
        <f t="shared" si="45"/>
        <v>1</v>
      </c>
      <c r="U26" s="178">
        <f t="shared" si="27"/>
        <v>6.25</v>
      </c>
      <c r="V26" s="179"/>
      <c r="W26" s="213" t="s">
        <v>73</v>
      </c>
      <c r="X26" s="175"/>
      <c r="Y26" s="175" t="s">
        <v>74</v>
      </c>
      <c r="Z26" s="177">
        <f t="shared" si="28"/>
        <v>1</v>
      </c>
      <c r="AA26" s="178">
        <f t="shared" si="46"/>
        <v>6.25</v>
      </c>
      <c r="AB26" s="181">
        <f t="shared" si="29"/>
        <v>12.5</v>
      </c>
      <c r="AC26" s="179"/>
      <c r="AD26" s="66">
        <v>0.26900000000000002</v>
      </c>
      <c r="AE26" s="175">
        <f>'[7]117434'!$C$36+'[7]117434'!$C$37</f>
        <v>20</v>
      </c>
      <c r="AF26" s="175">
        <v>57</v>
      </c>
      <c r="AG26" s="177">
        <f t="shared" si="6"/>
        <v>0.35087719298245612</v>
      </c>
      <c r="AH26" s="178">
        <f t="shared" si="47"/>
        <v>12.5</v>
      </c>
      <c r="AI26" s="179"/>
      <c r="AJ26" s="66">
        <v>0.629</v>
      </c>
      <c r="AK26" s="175">
        <f>'[7]117434'!$C$63+'[7]117434'!$C$60+'[7]117434'!$C$61+'[7]117434'!$C$62</f>
        <v>40</v>
      </c>
      <c r="AL26" s="175">
        <f>'[7]117434'!$C$17</f>
        <v>42</v>
      </c>
      <c r="AM26" s="177">
        <f t="shared" si="8"/>
        <v>0.95238095238095233</v>
      </c>
      <c r="AN26" s="178">
        <f t="shared" si="48"/>
        <v>12.5</v>
      </c>
      <c r="AO26" s="179"/>
      <c r="AP26" s="66">
        <v>0.36</v>
      </c>
      <c r="AQ26" s="175">
        <f>'[7]117434'!$C$35+'[7]117434'!$C$34</f>
        <v>37</v>
      </c>
      <c r="AR26" s="175">
        <v>133</v>
      </c>
      <c r="AS26" s="177">
        <f t="shared" si="10"/>
        <v>0.2781954887218045</v>
      </c>
      <c r="AT26" s="178">
        <f t="shared" si="49"/>
        <v>9.6595655806182119</v>
      </c>
      <c r="AU26" s="179"/>
      <c r="AV26" s="213" t="s">
        <v>73</v>
      </c>
      <c r="AW26" s="175">
        <f>SUM('[4]117434'!$J$62:$K$62)</f>
        <v>0</v>
      </c>
      <c r="AX26" s="175">
        <f>SUM('[4]117434'!$J$61:$K$61)</f>
        <v>0</v>
      </c>
      <c r="AY26" s="177">
        <f t="shared" si="12"/>
        <v>1</v>
      </c>
      <c r="AZ26" s="178">
        <f t="shared" si="50"/>
        <v>12.5</v>
      </c>
      <c r="BA26" s="179"/>
      <c r="BB26" s="180" t="s">
        <v>329</v>
      </c>
      <c r="BC26" s="175"/>
      <c r="BD26" s="175"/>
      <c r="BE26" s="177">
        <f t="shared" si="51"/>
        <v>1</v>
      </c>
      <c r="BF26" s="182">
        <v>6.25E-2</v>
      </c>
      <c r="BG26" s="179"/>
      <c r="BH26" s="180">
        <v>0.8</v>
      </c>
      <c r="BI26" s="175">
        <v>1</v>
      </c>
      <c r="BJ26" s="175">
        <v>1</v>
      </c>
      <c r="BK26" s="177">
        <f t="shared" si="52"/>
        <v>1</v>
      </c>
      <c r="BL26" s="178">
        <f t="shared" si="30"/>
        <v>12.5</v>
      </c>
      <c r="BM26" s="183"/>
      <c r="BN26" s="184"/>
      <c r="BO26" s="185">
        <f t="shared" si="53"/>
        <v>97.159565580618221</v>
      </c>
      <c r="BP26" s="186" t="str">
        <f t="shared" si="54"/>
        <v>Tramo 1: 100% C. Variable</v>
      </c>
      <c r="BQ26" s="187">
        <v>90</v>
      </c>
      <c r="DA26"/>
    </row>
    <row r="27" spans="1:147" ht="15" outlineLevel="2" x14ac:dyDescent="0.25">
      <c r="A27" s="173" t="s">
        <v>238</v>
      </c>
      <c r="B27" s="71" t="s">
        <v>30</v>
      </c>
      <c r="C27" s="71" t="s">
        <v>25</v>
      </c>
      <c r="D27" s="174"/>
      <c r="E27" s="66">
        <v>0.9</v>
      </c>
      <c r="F27" s="175">
        <f>SUM('[4]117316'!$J$25:$M$25)+SUM('[4]117316'!$J$27:$M$27)+SUM('[4]117427'!$J$25:$M$25)+(SUM('[4]117427'!$J$27:$M$27)+SUM('[4]117465'!$J$25:$M$25)+(SUM('[4]117465'!$J$27:$M$27)))</f>
        <v>0</v>
      </c>
      <c r="G27" s="176">
        <v>1</v>
      </c>
      <c r="H27" s="177">
        <f t="shared" si="41"/>
        <v>0</v>
      </c>
      <c r="I27" s="178">
        <f t="shared" si="42"/>
        <v>0</v>
      </c>
      <c r="J27" s="179"/>
      <c r="K27" s="180">
        <v>0.9</v>
      </c>
      <c r="L27" s="175">
        <f>SUM('[5]117316'!$B$11:$B$18)+SUM('[5]117427'!$B$11:$B$18)+SUM('[5]117465'!$B$11:$B$18)</f>
        <v>888</v>
      </c>
      <c r="M27" s="175">
        <v>1001</v>
      </c>
      <c r="N27" s="177">
        <f t="shared" si="43"/>
        <v>0.88711288711288716</v>
      </c>
      <c r="O27" s="178">
        <f t="shared" si="44"/>
        <v>12.321012321012322</v>
      </c>
      <c r="P27" s="179"/>
      <c r="Q27" s="66">
        <v>0.35</v>
      </c>
      <c r="R27" s="175">
        <f>SUM('[4]117316'!$F$199:$Y$199)+SUM('[4]117427'!$F$199:$Y$199)+SUM('[4]117465'!$F$199:$Y$199)</f>
        <v>264</v>
      </c>
      <c r="S27" s="175">
        <v>439</v>
      </c>
      <c r="T27" s="177">
        <f t="shared" si="45"/>
        <v>0.60136674259681089</v>
      </c>
      <c r="U27" s="178">
        <f t="shared" si="27"/>
        <v>6.25</v>
      </c>
      <c r="V27" s="179"/>
      <c r="W27" s="66">
        <v>0.11</v>
      </c>
      <c r="X27" s="175">
        <f>SUM('[6]117316'!$S$48+'[6]117316'!$T$48)+SUM('[6]117427'!$S$48+'[6]117427'!$T$48)+SUM('[6]117465'!$S$48+'[6]117465'!$T$48)</f>
        <v>17</v>
      </c>
      <c r="Y27" s="175">
        <v>71.25</v>
      </c>
      <c r="Z27" s="177">
        <f t="shared" si="28"/>
        <v>0.23859649122807017</v>
      </c>
      <c r="AA27" s="178">
        <f t="shared" si="46"/>
        <v>6.25</v>
      </c>
      <c r="AB27" s="181">
        <f t="shared" si="29"/>
        <v>12.5</v>
      </c>
      <c r="AC27" s="179"/>
      <c r="AD27" s="66">
        <v>0.23400000000000001</v>
      </c>
      <c r="AE27" s="175">
        <f>'[7]117316'!$C$36+'[7]117316'!$C$37+'[7]117427'!$C$36+'[7]117427'!$C$37+'[7]117465'!$C$36+'[7]117465'!$C$37</f>
        <v>97</v>
      </c>
      <c r="AF27" s="175">
        <v>781</v>
      </c>
      <c r="AG27" s="177">
        <f t="shared" si="6"/>
        <v>0.12419974391805377</v>
      </c>
      <c r="AH27" s="178">
        <f t="shared" si="47"/>
        <v>6.6346017050242398</v>
      </c>
      <c r="AI27" s="179"/>
      <c r="AJ27" s="66">
        <v>0.83799999999999997</v>
      </c>
      <c r="AK27" s="175">
        <f>'[7]117316'!$C$63+'[7]117316'!$C$60+'[7]117316'!$C$61+'[7]117316'!$C$62+'[7]117427'!$C$63+'[7]117427'!$C$60+'[7]117427'!$C$61+'[7]117427'!$C$62+'[7]117465'!$C$63+'[7]117465'!$C$60+'[7]117465'!$C$61+'[7]117465'!$C$62</f>
        <v>458</v>
      </c>
      <c r="AL27" s="175">
        <f>'[7]117316'!$C$17+'[7]117427'!$C$17+'[7]117465'!$C$17</f>
        <v>574</v>
      </c>
      <c r="AM27" s="177">
        <f t="shared" si="8"/>
        <v>0.79790940766550522</v>
      </c>
      <c r="AN27" s="178">
        <f t="shared" si="48"/>
        <v>11.901989971144172</v>
      </c>
      <c r="AO27" s="179"/>
      <c r="AP27" s="66">
        <v>0.35099999999999998</v>
      </c>
      <c r="AQ27" s="175">
        <f>'[7]117316'!$C$35+'[7]117316'!$C$34+'[7]117427'!$C$35+'[7]117427'!$C$34+'[7]117465'!$C$35+'[7]117465'!$C$34</f>
        <v>762</v>
      </c>
      <c r="AR27" s="175">
        <v>1801</v>
      </c>
      <c r="AS27" s="177">
        <f t="shared" si="10"/>
        <v>0.42309827873403666</v>
      </c>
      <c r="AT27" s="178">
        <f t="shared" si="49"/>
        <v>12.5</v>
      </c>
      <c r="AU27" s="179"/>
      <c r="AV27" s="66">
        <v>0.92600000000000005</v>
      </c>
      <c r="AW27" s="175">
        <f>SUM('[4]117316'!$J$62:$K$62)+SUM('[4]117427'!$J$62:$K$62)+SUM('[4]117465'!$J$62:$K$62)</f>
        <v>21</v>
      </c>
      <c r="AX27" s="175">
        <f>SUM('[4]117316'!$J$61:$K$61)+SUM('[4]117427'!$J$61:$K$61)+SUM('[4]117465'!$J$61:$K$61)</f>
        <v>23</v>
      </c>
      <c r="AY27" s="177">
        <f t="shared" si="12"/>
        <v>0.91304347826086951</v>
      </c>
      <c r="AZ27" s="178">
        <f t="shared" si="50"/>
        <v>12.325100948445861</v>
      </c>
      <c r="BA27" s="179"/>
      <c r="BB27" s="180">
        <v>0.2</v>
      </c>
      <c r="BC27" s="175"/>
      <c r="BD27" s="175"/>
      <c r="BE27" s="177">
        <f t="shared" si="51"/>
        <v>1</v>
      </c>
      <c r="BF27" s="182">
        <v>6.25E-2</v>
      </c>
      <c r="BG27" s="179"/>
      <c r="BH27" s="180">
        <v>0.8</v>
      </c>
      <c r="BI27" s="175">
        <v>1</v>
      </c>
      <c r="BJ27" s="175">
        <v>1</v>
      </c>
      <c r="BK27" s="177">
        <f t="shared" si="52"/>
        <v>1</v>
      </c>
      <c r="BL27" s="178">
        <f t="shared" si="30"/>
        <v>12.5</v>
      </c>
      <c r="BM27" s="183"/>
      <c r="BN27" s="184"/>
      <c r="BO27" s="185">
        <f t="shared" si="53"/>
        <v>80.682704945626597</v>
      </c>
      <c r="BP27" s="186" t="str">
        <f t="shared" si="54"/>
        <v>Tramo 2: 50% C. Variable</v>
      </c>
      <c r="BQ27" s="187">
        <v>90</v>
      </c>
      <c r="DA27"/>
      <c r="EQ27" s="139" t="s">
        <v>330</v>
      </c>
    </row>
    <row r="28" spans="1:147" ht="15" outlineLevel="2" x14ac:dyDescent="0.25">
      <c r="A28" s="173" t="s">
        <v>239</v>
      </c>
      <c r="B28" s="71" t="s">
        <v>31</v>
      </c>
      <c r="C28" s="71" t="s">
        <v>25</v>
      </c>
      <c r="D28" s="174"/>
      <c r="E28" s="66">
        <v>0.44500000000000001</v>
      </c>
      <c r="F28" s="175">
        <f>SUM('[4]117327'!$J$25:$M$25)+SUM('[4]117327'!$J$27:$M$27)+SUM('[4]117443'!$J$25:$M$25)+SUM('[4]117443'!$J$27:$M$27)+SUM('[4]117444'!$J$25:$M$25)+SUM('[4]117444'!$J$27:$M$27)+SUM('[4]117446'!$J$25:$M$25)+SUM('[4]117446'!$J$27:$M$27)</f>
        <v>1</v>
      </c>
      <c r="G28" s="176">
        <v>4</v>
      </c>
      <c r="H28" s="177">
        <f t="shared" si="41"/>
        <v>0.25</v>
      </c>
      <c r="I28" s="178">
        <f t="shared" si="42"/>
        <v>7.02247191011236</v>
      </c>
      <c r="J28" s="179"/>
      <c r="K28" s="180">
        <v>0.9</v>
      </c>
      <c r="L28" s="175">
        <f>SUM('[5]117327'!$B$11:$B$18)+SUM('[5]117443'!$B$11:$B$18)+SUM('[5]117444'!$B$11:$B$18)+SUM('[5]117446'!$B$11:$B$18)</f>
        <v>879</v>
      </c>
      <c r="M28" s="175">
        <v>1097</v>
      </c>
      <c r="N28" s="177">
        <f t="shared" si="43"/>
        <v>0.80127620783956244</v>
      </c>
      <c r="O28" s="178">
        <f t="shared" si="44"/>
        <v>11.128836219993921</v>
      </c>
      <c r="P28" s="179"/>
      <c r="Q28" s="66">
        <v>0.35</v>
      </c>
      <c r="R28" s="175">
        <f>SUM('[4]117327'!$F$199:$Y$199)+SUM('[4]117443'!$F$199:$Y$199)+SUM('[4]117444'!$F$199:$Y$199)+SUM('[4]117446'!$F$199:$Y$199)</f>
        <v>202</v>
      </c>
      <c r="S28" s="175">
        <v>380</v>
      </c>
      <c r="T28" s="177">
        <f t="shared" si="45"/>
        <v>0.53157894736842104</v>
      </c>
      <c r="U28" s="178">
        <f t="shared" si="27"/>
        <v>6.25</v>
      </c>
      <c r="V28" s="179"/>
      <c r="W28" s="66">
        <v>0.11</v>
      </c>
      <c r="X28" s="175">
        <f>SUM('[6]117327'!$S$48+'[6]117327'!$T$48)+SUM('[6]117443'!$S$48+'[6]117443'!$T$48)+SUM('[6]117444'!$S$48+'[6]117444'!$T$48)+SUM('[6]117446'!$S$48+'[6]117446'!$T$48)</f>
        <v>19</v>
      </c>
      <c r="Y28" s="175">
        <v>57</v>
      </c>
      <c r="Z28" s="177">
        <f t="shared" si="28"/>
        <v>0.33333333333333331</v>
      </c>
      <c r="AA28" s="178">
        <f t="shared" si="46"/>
        <v>6.25</v>
      </c>
      <c r="AB28" s="181">
        <f t="shared" si="29"/>
        <v>12.5</v>
      </c>
      <c r="AC28" s="179"/>
      <c r="AD28" s="66">
        <v>0.221</v>
      </c>
      <c r="AE28" s="175">
        <f>'[7]117327'!$C$36+'[7]117327'!$C$37+'[7]117443'!$C$36+'[7]117443'!$C$37+'[7]117444'!$C$36+'[7]117444'!$C$37+'[7]117446'!$C$36+'[7]117446'!$C$37</f>
        <v>162</v>
      </c>
      <c r="AF28" s="175">
        <v>722</v>
      </c>
      <c r="AG28" s="177">
        <f t="shared" si="6"/>
        <v>0.22437673130193905</v>
      </c>
      <c r="AH28" s="178">
        <f t="shared" si="47"/>
        <v>12.5</v>
      </c>
      <c r="AI28" s="179"/>
      <c r="AJ28" s="66">
        <v>0.77400000000000002</v>
      </c>
      <c r="AK28" s="175">
        <f>'[7]117327'!$C$63+'[7]117327'!$C$60+'[7]117327'!$C$61+'[7]117327'!$C$62+'[7]117443'!$C$63+'[7]117443'!$C$60+'[7]117443'!$C$61+'[7]117443'!$C$62+'[7]117444'!$C$63+'[7]117444'!$C$60+'[7]117444'!$C$61+'[7]117444'!$C$62+'[7]117446'!$C$63+'[7]117446'!$C$60+'[7]117446'!$C$61+'[7]117446'!$C$62</f>
        <v>560</v>
      </c>
      <c r="AL28" s="175">
        <f>'[7]117327'!$C$17+'[7]117443'!$C$17+'[7]117444'!$C$17+'[7]117446'!$C$17</f>
        <v>636</v>
      </c>
      <c r="AM28" s="177">
        <f t="shared" si="8"/>
        <v>0.88050314465408808</v>
      </c>
      <c r="AN28" s="178">
        <f t="shared" si="48"/>
        <v>12.5</v>
      </c>
      <c r="AO28" s="179"/>
      <c r="AP28" s="66">
        <v>0.24199999999999999</v>
      </c>
      <c r="AQ28" s="175">
        <f>'[7]117327'!$C$35+'[7]117327'!$C$34+'[7]117443'!$C$35+'[7]117443'!$C$34+'[7]117444'!$C$35+'[7]117444'!$C$34+'[7]117446'!$C$35+'[7]117446'!$C$34</f>
        <v>716</v>
      </c>
      <c r="AR28" s="175">
        <v>1652</v>
      </c>
      <c r="AS28" s="177">
        <f t="shared" si="10"/>
        <v>0.43341404358353514</v>
      </c>
      <c r="AT28" s="178">
        <f t="shared" si="49"/>
        <v>12.5</v>
      </c>
      <c r="AU28" s="179"/>
      <c r="AV28" s="66">
        <v>0.39</v>
      </c>
      <c r="AW28" s="175">
        <f>SUM('[4]117327'!$J$62:$K$62)+SUM('[4]117443'!$J$62:$K$62)+SUM('[4]117444'!$J$62:$K$62)+SUM('[4]117446'!$J$62:$K$62)</f>
        <v>12</v>
      </c>
      <c r="AX28" s="175">
        <f>SUM('[4]117327'!$J$61:$K$61)+SUM('[4]117443'!$J$61:$K$61)+SUM('[4]117444'!$J$61:$K$61)+SUM('[4]117446'!$J$61:$K$61)</f>
        <v>31</v>
      </c>
      <c r="AY28" s="177">
        <f t="shared" si="12"/>
        <v>0.38709677419354838</v>
      </c>
      <c r="AZ28" s="178">
        <f t="shared" si="50"/>
        <v>12.406947890818858</v>
      </c>
      <c r="BA28" s="179"/>
      <c r="BB28" s="180">
        <v>0.16</v>
      </c>
      <c r="BC28" s="175"/>
      <c r="BD28" s="175"/>
      <c r="BE28" s="177">
        <f t="shared" si="51"/>
        <v>1</v>
      </c>
      <c r="BF28" s="182">
        <v>6.25E-2</v>
      </c>
      <c r="BG28" s="179"/>
      <c r="BH28" s="180">
        <v>0.8</v>
      </c>
      <c r="BI28" s="175">
        <v>1</v>
      </c>
      <c r="BJ28" s="175">
        <v>1</v>
      </c>
      <c r="BK28" s="177">
        <f t="shared" si="52"/>
        <v>1</v>
      </c>
      <c r="BL28" s="178">
        <f t="shared" si="30"/>
        <v>12.5</v>
      </c>
      <c r="BM28" s="183"/>
      <c r="BN28" s="184"/>
      <c r="BO28" s="185">
        <f t="shared" si="53"/>
        <v>93.058256020925143</v>
      </c>
      <c r="BP28" s="186" t="str">
        <f t="shared" si="54"/>
        <v>Tramo 1: 100% C. Variable</v>
      </c>
      <c r="BQ28" s="187">
        <v>90</v>
      </c>
      <c r="DA28"/>
      <c r="EQ28" s="139" t="s">
        <v>331</v>
      </c>
    </row>
    <row r="29" spans="1:147" ht="15" outlineLevel="1" x14ac:dyDescent="0.25">
      <c r="A29" s="173"/>
      <c r="B29" s="93"/>
      <c r="C29" s="73" t="s">
        <v>25</v>
      </c>
      <c r="D29" s="206"/>
      <c r="E29" s="100" t="s">
        <v>25</v>
      </c>
      <c r="F29" s="116">
        <f>SUM(F22:F28)</f>
        <v>12</v>
      </c>
      <c r="G29" s="117">
        <f>SUM(G22:G28)</f>
        <v>19</v>
      </c>
      <c r="H29" s="63">
        <f>IFERROR(F29/G29,"")</f>
        <v>0.63157894736842102</v>
      </c>
      <c r="I29" s="208"/>
      <c r="J29" s="179"/>
      <c r="K29" s="68" t="s">
        <v>25</v>
      </c>
      <c r="L29" s="116">
        <f>SUM(L22:L28)</f>
        <v>4792</v>
      </c>
      <c r="M29" s="117">
        <f>SUM(M22:M28)</f>
        <v>5619</v>
      </c>
      <c r="N29" s="63">
        <f>IFERROR(L29/M29,"")</f>
        <v>0.85282078661683569</v>
      </c>
      <c r="O29" s="208"/>
      <c r="P29" s="179"/>
      <c r="Q29" s="68" t="s">
        <v>25</v>
      </c>
      <c r="R29" s="116">
        <f>SUM(R22:R28)</f>
        <v>1324</v>
      </c>
      <c r="S29" s="117">
        <f>SUM(S22:S28)</f>
        <v>2381</v>
      </c>
      <c r="T29" s="63">
        <f>IFERROR(R29/S29,"")</f>
        <v>0.5560688786224276</v>
      </c>
      <c r="U29" s="208"/>
      <c r="V29" s="179"/>
      <c r="W29" s="73" t="s">
        <v>25</v>
      </c>
      <c r="X29" s="116">
        <f>SUM(X22:X28)</f>
        <v>81</v>
      </c>
      <c r="Y29" s="117">
        <f>SUM(Y22:Y28)</f>
        <v>316.25</v>
      </c>
      <c r="Z29" s="63">
        <f>IFERROR(X29/Y29,"")</f>
        <v>0.25612648221343876</v>
      </c>
      <c r="AA29" s="208"/>
      <c r="AB29" s="208"/>
      <c r="AC29" s="179"/>
      <c r="AD29" s="73" t="s">
        <v>25</v>
      </c>
      <c r="AE29" s="116">
        <f>SUM(AE22:AE28)</f>
        <v>1315</v>
      </c>
      <c r="AF29" s="117">
        <f>SUM(AF22:AF28)</f>
        <v>4085</v>
      </c>
      <c r="AG29" s="63">
        <f>IFERROR(AE29/AF29,"")</f>
        <v>0.32190942472460221</v>
      </c>
      <c r="AH29" s="63"/>
      <c r="AI29" s="210"/>
      <c r="AJ29" s="73" t="s">
        <v>25</v>
      </c>
      <c r="AK29" s="116">
        <f>SUM(AK22:AK28)</f>
        <v>3038</v>
      </c>
      <c r="AL29" s="117">
        <f>SUM(AL22:AL28)</f>
        <v>3503</v>
      </c>
      <c r="AM29" s="63">
        <f>IFERROR(AK29/AL29,"")</f>
        <v>0.86725663716814161</v>
      </c>
      <c r="AN29" s="63"/>
      <c r="AO29" s="210"/>
      <c r="AP29" s="73" t="s">
        <v>25</v>
      </c>
      <c r="AQ29" s="116">
        <f>SUM(AQ22:AQ28)</f>
        <v>4558</v>
      </c>
      <c r="AR29" s="116">
        <f>SUM(AR22:AR28)</f>
        <v>9409</v>
      </c>
      <c r="AS29" s="63">
        <f>IFERROR(AQ29/AR29,"")</f>
        <v>0.48442980125411839</v>
      </c>
      <c r="AT29" s="63"/>
      <c r="AU29" s="210"/>
      <c r="AV29" s="73" t="s">
        <v>25</v>
      </c>
      <c r="AW29" s="116">
        <f>SUM(AW22:AW28)</f>
        <v>90</v>
      </c>
      <c r="AX29" s="116">
        <f>SUM(AX22:AX28)</f>
        <v>134</v>
      </c>
      <c r="AY29" s="63">
        <f>IFERROR(AW29/AX29,"")</f>
        <v>0.67164179104477617</v>
      </c>
      <c r="AZ29" s="63"/>
      <c r="BA29" s="210"/>
      <c r="BB29" s="209" t="s">
        <v>25</v>
      </c>
      <c r="BC29" s="116">
        <f>SUM(BC22:BC28)</f>
        <v>0</v>
      </c>
      <c r="BD29" s="116">
        <f>SUM(BD22:BD28)</f>
        <v>0</v>
      </c>
      <c r="BE29" s="63" t="str">
        <f>IFERROR(BC29/BD29,"")</f>
        <v/>
      </c>
      <c r="BF29" s="211"/>
      <c r="BG29" s="210"/>
      <c r="BH29" s="209" t="s">
        <v>25</v>
      </c>
      <c r="BI29" s="116">
        <f>SUM(BI22:BI28)</f>
        <v>7</v>
      </c>
      <c r="BJ29" s="116">
        <f>SUM(BJ22:BJ28)</f>
        <v>7</v>
      </c>
      <c r="BK29" s="63">
        <f>IFERROR(BI29/BJ29,"")</f>
        <v>1</v>
      </c>
      <c r="BL29" s="211"/>
      <c r="BM29" s="211"/>
      <c r="BN29" s="184"/>
      <c r="BO29" s="212"/>
      <c r="BP29" s="92"/>
      <c r="BQ29" s="187">
        <v>90</v>
      </c>
      <c r="DA29"/>
    </row>
    <row r="30" spans="1:147" ht="12.75" outlineLevel="2" x14ac:dyDescent="0.2">
      <c r="A30" s="173" t="s">
        <v>227</v>
      </c>
      <c r="B30" s="71" t="s">
        <v>32</v>
      </c>
      <c r="C30" s="71" t="s">
        <v>33</v>
      </c>
      <c r="D30" s="174"/>
      <c r="E30" s="66">
        <v>0.9</v>
      </c>
      <c r="F30" s="175">
        <f>SUM('[4]117318'!$J$25:$M$25)+SUM('[4]117318'!$J$27:$M$27)+SUM('[4]117401'!$J$25:$M$25)+SUM('[4]117401'!$J$27:$M$27)+SUM('[4]117403'!$J$25:$M$25)+SUM('[4]117403'!$J$27:$M$27)+SUM('[4]117406'!$J$25:$M$25)+SUM('[4]117406'!$J$27:$M$27)+SUM('[4]117407'!$J$25:$M$25)+SUM('[4]117407'!$J$27:$M$27)</f>
        <v>14</v>
      </c>
      <c r="G30" s="176">
        <v>19</v>
      </c>
      <c r="H30" s="177">
        <f t="shared" ref="H30:H36" si="55">IF(E30="aut",100%,IF(G30=0,100%,F30/G30))</f>
        <v>0.73684210526315785</v>
      </c>
      <c r="I30" s="178">
        <f t="shared" ref="I30:I36" si="56">IF(E30="aut",$C$2,IF(H30&gt;=E30,$C$2,((H30/E30)*$C$2)))</f>
        <v>10.23391812865497</v>
      </c>
      <c r="J30" s="179"/>
      <c r="K30" s="180">
        <v>0.9</v>
      </c>
      <c r="L30" s="175">
        <f>SUM('[5]117318'!$B$11:$B$18)+SUM('[5]117401'!$B$11:$B$18)+SUM('[5]117403'!$B$11:$B$18)+SUM('[5]117406'!$B$11:$B$18)+SUM('[5]117407'!$B$11:$B$18)</f>
        <v>3676</v>
      </c>
      <c r="M30" s="175">
        <v>3694</v>
      </c>
      <c r="N30" s="177">
        <f t="shared" ref="N30:N36" si="57">IF(K30="aut",100%,IF(M30=0,100%,L30/M30))</f>
        <v>0.99512723335138065</v>
      </c>
      <c r="O30" s="178">
        <f t="shared" ref="O30:O36" si="58">IF(K30="aut",$C$2,IF(N30&gt;=K30,$C$2,((N30/K30)*$C$2)))</f>
        <v>12.5</v>
      </c>
      <c r="P30" s="179"/>
      <c r="Q30" s="66">
        <v>0.35</v>
      </c>
      <c r="R30" s="175">
        <f>SUM('[4]117318'!$F$199:$Y$199)+SUM('[4]117401'!$F$199:$Y$199)+SUM('[4]117403'!$F$199:$Y$199)+SUM('[4]117406'!$F$199:$Y$199)+SUM('[4]117407'!$F$199:$Y$199)</f>
        <v>1424</v>
      </c>
      <c r="S30" s="175">
        <v>2667</v>
      </c>
      <c r="T30" s="177">
        <f t="shared" ref="T30:T36" si="59">IF(Q30="aut",100%,IF(S30=0,100%,R30/S30))</f>
        <v>0.53393325834270711</v>
      </c>
      <c r="U30" s="178">
        <f t="shared" si="27"/>
        <v>6.25</v>
      </c>
      <c r="V30" s="179"/>
      <c r="W30" s="66">
        <v>0.11</v>
      </c>
      <c r="X30" s="175">
        <f>SUM('[6]117318'!$S$48+'[6]117318'!$T$48)+SUM('[6]117401'!$S$48+'[6]117401'!$T$48)+SUM('[6]117403'!$S$48+'[6]117403'!$T$48)+SUM('[6]117406'!$S$48+'[6]117406'!$T$48)+SUM('[6]117407'!$S$48+'[6]117407'!$T$48)</f>
        <v>46</v>
      </c>
      <c r="Y30" s="175">
        <v>314.75</v>
      </c>
      <c r="Z30" s="177">
        <f t="shared" si="28"/>
        <v>0.14614773629864972</v>
      </c>
      <c r="AA30" s="178">
        <f t="shared" ref="AA30:AA36" si="60">IF(W30="aut",($C$2/2),IF(Z30&gt;=W30,$C$2/2,((Z30/W30)*$C$2/2)))</f>
        <v>6.25</v>
      </c>
      <c r="AB30" s="181">
        <f t="shared" si="29"/>
        <v>12.5</v>
      </c>
      <c r="AC30" s="179"/>
      <c r="AD30" s="66">
        <v>0.20699999999999999</v>
      </c>
      <c r="AE30" s="175">
        <f>'[7]117318'!$C$36+'[7]117318'!$C$37+'[7]117401'!$C$36+'[7]117401'!$C$37+'[7]117403'!$C$36+'[7]117403'!$C$37+'[7]117406'!$C$36+'[7]117406'!$C$37+'[7]117407'!$C$36+'[7]117407'!$C$37</f>
        <v>799</v>
      </c>
      <c r="AF30" s="175">
        <v>2441</v>
      </c>
      <c r="AG30" s="177">
        <f t="shared" si="6"/>
        <v>0.32732486685784512</v>
      </c>
      <c r="AH30" s="178">
        <f t="shared" ref="AH30:AH36" si="61">IF(AD30="aut",$C$2,IF(AG30&gt;=AD30,$C$2,((AG30/AD30)*$C$2)))</f>
        <v>12.5</v>
      </c>
      <c r="AI30" s="179"/>
      <c r="AJ30" s="66">
        <v>0.81399999999999995</v>
      </c>
      <c r="AK30" s="175">
        <f>'[7]117318'!$C$63+'[7]117318'!$C$60+'[7]117318'!$C$61+'[7]117318'!$C$62+'[7]117401'!$C$63+'[7]117401'!$C$60+'[7]117401'!$C$61+'[7]117401'!$C$62+'[7]117403'!$C$63+'[7]117403'!$C$60+'[7]117403'!$C$61+'[7]117403'!$C$62+'[7]117406'!$C$63+'[7]117406'!$C$60+'[7]117406'!$C$61+'[7]117406'!$C$62+'[7]117407'!$C$63+'[7]117407'!$C$60+'[7]117407'!$C$61+'[7]117407'!$C$62</f>
        <v>1654</v>
      </c>
      <c r="AL30" s="175">
        <f>'[7]117318'!$C$17+'[7]117401'!$C$17+'[7]117403'!$C$17+'[7]117406'!$C$17+'[7]117407'!$C$17</f>
        <v>1880</v>
      </c>
      <c r="AM30" s="177">
        <f t="shared" si="8"/>
        <v>0.87978723404255321</v>
      </c>
      <c r="AN30" s="178">
        <f t="shared" ref="AN30:AN36" si="62">IF(AJ30="aut",$C$2,IF(AM30&gt;=AJ30,$C$2,((AM30/AJ30)*$C$2)))</f>
        <v>12.5</v>
      </c>
      <c r="AO30" s="179"/>
      <c r="AP30" s="66">
        <v>0.3</v>
      </c>
      <c r="AQ30" s="175">
        <f>'[7]117318'!$C$35+'[7]117318'!$C$34+'[7]117401'!$C$35+'[7]117401'!$C$34+'[7]117403'!$C$35+'[7]117403'!$C$34+'[7]117406'!$C$35+'[7]117406'!$C$34+'[7]117407'!$C$35+'[7]117407'!$C$34</f>
        <v>1865</v>
      </c>
      <c r="AR30" s="175">
        <v>5506</v>
      </c>
      <c r="AS30" s="177">
        <f t="shared" si="10"/>
        <v>0.33872139484199054</v>
      </c>
      <c r="AT30" s="178">
        <f t="shared" ref="AT30:AT36" si="63">IF(AP30="aut",$C$2,IF(AS30&gt;=AP30,$C$2,((AS30/AP30)*$C$2)))</f>
        <v>12.5</v>
      </c>
      <c r="AU30" s="179"/>
      <c r="AV30" s="66">
        <v>0.53700000000000003</v>
      </c>
      <c r="AW30" s="175">
        <f>SUM('[4]117318'!$J$62:$K$62)+SUM('[4]117401'!$J$62:$K$62)+SUM('[4]117403'!$J$62:$K$62)+SUM('[4]117406'!$J$62:$K$62)+SUM('[4]117407'!$J$62:$K$62)</f>
        <v>94</v>
      </c>
      <c r="AX30" s="175">
        <f>SUM('[4]117318'!$J$61:$K$61)+SUM('[4]117401'!$J$61:$K$61)+SUM('[4]117403'!$J$61:$K$61)+SUM('[4]117406'!$J$61:$K$61)+SUM('[4]117407'!$J$61:$K$61)</f>
        <v>163</v>
      </c>
      <c r="AY30" s="177">
        <f t="shared" si="12"/>
        <v>0.57668711656441718</v>
      </c>
      <c r="AZ30" s="178">
        <f t="shared" ref="AZ30:AZ36" si="64">IF(AV30="aut",$C$2,IF(AY30&gt;=AV30,$C$2,((AY30/AV30)*$C$2)))</f>
        <v>12.5</v>
      </c>
      <c r="BA30" s="179"/>
      <c r="BB30" s="180">
        <v>0.15</v>
      </c>
      <c r="BC30" s="175"/>
      <c r="BD30" s="175"/>
      <c r="BE30" s="177">
        <f t="shared" ref="BE30:BE36" si="65">IF(BB30="aut",100%,IF(BD30=0,100%,BC30/BD30))</f>
        <v>1</v>
      </c>
      <c r="BF30" s="182">
        <v>6.25E-2</v>
      </c>
      <c r="BG30" s="179"/>
      <c r="BH30" s="180">
        <v>0.8</v>
      </c>
      <c r="BI30" s="175">
        <v>1</v>
      </c>
      <c r="BJ30" s="175">
        <v>1</v>
      </c>
      <c r="BK30" s="177">
        <f t="shared" ref="BK30:BK36" si="66">IF(BH30="aut",100%,IF(BJ30=0,100%,BI30/BJ30))</f>
        <v>1</v>
      </c>
      <c r="BL30" s="178">
        <f t="shared" si="30"/>
        <v>12.5</v>
      </c>
      <c r="BM30" s="183"/>
      <c r="BN30" s="184"/>
      <c r="BO30" s="185">
        <f t="shared" ref="BO30:BO36" si="67">+BL30+AZ30+AT30+AH30+AB30+O30+I30+AN30</f>
        <v>97.733918128654977</v>
      </c>
      <c r="BP30" s="186" t="str">
        <f t="shared" ref="BP30:BP36" si="68">IF(BO30&gt;=90,"Tramo 1: 100% C. Variable",IF(AND(BO30&gt;=75,BO30&lt;90),"Tramo 2: 50% C. Variable",IF(BO30&lt;75,"Tramo 3: Sin Asig. C. Variable")))</f>
        <v>Tramo 1: 100% C. Variable</v>
      </c>
      <c r="BQ30" s="187">
        <v>90</v>
      </c>
      <c r="CN30" s="71" t="s">
        <v>32</v>
      </c>
      <c r="CO30" s="188">
        <f t="shared" ref="CO30:CS31" si="69">E30</f>
        <v>0.9</v>
      </c>
      <c r="CP30" s="96">
        <f t="shared" si="69"/>
        <v>14</v>
      </c>
      <c r="CQ30" s="96">
        <f t="shared" si="69"/>
        <v>19</v>
      </c>
      <c r="CR30" s="188">
        <f t="shared" si="69"/>
        <v>0.73684210526315785</v>
      </c>
      <c r="CS30" s="189">
        <f t="shared" si="69"/>
        <v>10.23391812865497</v>
      </c>
      <c r="CT30" s="71" t="s">
        <v>32</v>
      </c>
      <c r="CU30" s="188">
        <f t="shared" ref="CU30:CY31" si="70">K30</f>
        <v>0.9</v>
      </c>
      <c r="CV30" s="190">
        <f t="shared" si="70"/>
        <v>3676</v>
      </c>
      <c r="CW30" s="190">
        <f t="shared" si="70"/>
        <v>3694</v>
      </c>
      <c r="CX30" s="188">
        <f t="shared" si="70"/>
        <v>0.99512723335138065</v>
      </c>
      <c r="CY30" s="189">
        <f t="shared" si="70"/>
        <v>12.5</v>
      </c>
      <c r="CZ30" s="71" t="s">
        <v>32</v>
      </c>
      <c r="DA30" s="192">
        <f t="shared" ref="DA30:DE31" si="71">Q30</f>
        <v>0.35</v>
      </c>
      <c r="DB30" s="190">
        <f t="shared" si="71"/>
        <v>1424</v>
      </c>
      <c r="DC30" s="190">
        <f t="shared" si="71"/>
        <v>2667</v>
      </c>
      <c r="DD30" s="188">
        <f t="shared" si="71"/>
        <v>0.53393325834270711</v>
      </c>
      <c r="DE30" s="189">
        <f t="shared" si="71"/>
        <v>6.25</v>
      </c>
      <c r="DF30" s="71" t="s">
        <v>32</v>
      </c>
      <c r="DG30" s="192">
        <f t="shared" ref="DG30:DL31" si="72">W30</f>
        <v>0.11</v>
      </c>
      <c r="DH30" s="190">
        <f t="shared" si="72"/>
        <v>46</v>
      </c>
      <c r="DI30" s="190">
        <f t="shared" si="72"/>
        <v>314.75</v>
      </c>
      <c r="DJ30" s="188">
        <f t="shared" si="72"/>
        <v>0.14614773629864972</v>
      </c>
      <c r="DK30" s="189">
        <f t="shared" si="72"/>
        <v>6.25</v>
      </c>
      <c r="DL30" s="191">
        <f t="shared" si="72"/>
        <v>12.5</v>
      </c>
      <c r="DM30" s="71" t="s">
        <v>32</v>
      </c>
      <c r="DN30" s="192">
        <f t="shared" ref="DN30:DR31" si="73">AD30</f>
        <v>0.20699999999999999</v>
      </c>
      <c r="DO30" s="190">
        <f t="shared" si="73"/>
        <v>799</v>
      </c>
      <c r="DP30" s="190">
        <f t="shared" si="73"/>
        <v>2441</v>
      </c>
      <c r="DQ30" s="188">
        <f t="shared" si="73"/>
        <v>0.32732486685784512</v>
      </c>
      <c r="DR30" s="189">
        <f t="shared" si="73"/>
        <v>12.5</v>
      </c>
      <c r="DS30" s="71" t="s">
        <v>32</v>
      </c>
      <c r="DT30" s="192">
        <f t="shared" ref="DT30:DX31" si="74">AJ30</f>
        <v>0.81399999999999995</v>
      </c>
      <c r="DU30" s="190">
        <f t="shared" si="74"/>
        <v>1654</v>
      </c>
      <c r="DV30" s="190">
        <f t="shared" si="74"/>
        <v>1880</v>
      </c>
      <c r="DW30" s="188">
        <f t="shared" si="74"/>
        <v>0.87978723404255321</v>
      </c>
      <c r="DX30" s="189">
        <f t="shared" si="74"/>
        <v>12.5</v>
      </c>
      <c r="DY30" s="71" t="s">
        <v>32</v>
      </c>
      <c r="DZ30" s="192">
        <f t="shared" ref="DZ30:ED31" si="75">AP30</f>
        <v>0.3</v>
      </c>
      <c r="EA30" s="190">
        <f t="shared" si="75"/>
        <v>1865</v>
      </c>
      <c r="EB30" s="190">
        <f t="shared" si="75"/>
        <v>5506</v>
      </c>
      <c r="EC30" s="188">
        <f t="shared" si="75"/>
        <v>0.33872139484199054</v>
      </c>
      <c r="ED30" s="189">
        <f t="shared" si="75"/>
        <v>12.5</v>
      </c>
      <c r="EE30" s="71" t="s">
        <v>32</v>
      </c>
      <c r="EF30" s="192">
        <f t="shared" ref="EF30:EJ31" si="76">AV30</f>
        <v>0.53700000000000003</v>
      </c>
      <c r="EG30" s="190">
        <f t="shared" si="76"/>
        <v>94</v>
      </c>
      <c r="EH30" s="190">
        <f t="shared" si="76"/>
        <v>163</v>
      </c>
      <c r="EI30" s="188">
        <f t="shared" si="76"/>
        <v>0.57668711656441718</v>
      </c>
      <c r="EJ30" s="189">
        <f t="shared" si="76"/>
        <v>12.5</v>
      </c>
      <c r="EK30" s="71" t="s">
        <v>32</v>
      </c>
      <c r="EL30" s="192">
        <f t="shared" ref="EL30:EP31" si="77">BH30</f>
        <v>0.8</v>
      </c>
      <c r="EM30" s="190">
        <f t="shared" si="77"/>
        <v>1</v>
      </c>
      <c r="EN30" s="190">
        <f t="shared" si="77"/>
        <v>1</v>
      </c>
      <c r="EO30" s="188">
        <f t="shared" si="77"/>
        <v>1</v>
      </c>
      <c r="EP30" s="189">
        <f t="shared" si="77"/>
        <v>12.5</v>
      </c>
      <c r="EQ30" s="214">
        <f t="shared" ref="EQ30:EQ35" si="78">+EP30+EJ30+ED30+DX30+DR30+DL30+CY30+CS30</f>
        <v>97.733918128654977</v>
      </c>
    </row>
    <row r="31" spans="1:147" ht="12.75" outlineLevel="2" x14ac:dyDescent="0.2">
      <c r="A31" s="173" t="s">
        <v>228</v>
      </c>
      <c r="B31" s="71" t="s">
        <v>34</v>
      </c>
      <c r="C31" s="71" t="s">
        <v>33</v>
      </c>
      <c r="D31" s="174"/>
      <c r="E31" s="66">
        <v>0.77</v>
      </c>
      <c r="F31" s="175">
        <f>SUM('[4]117325'!$J$25:$M$25)+SUM('[4]117325'!$J$27:$M$27)</f>
        <v>9</v>
      </c>
      <c r="G31" s="176">
        <v>10</v>
      </c>
      <c r="H31" s="177">
        <f t="shared" si="55"/>
        <v>0.9</v>
      </c>
      <c r="I31" s="178">
        <f t="shared" si="56"/>
        <v>12.5</v>
      </c>
      <c r="J31" s="179"/>
      <c r="K31" s="180">
        <v>0.9</v>
      </c>
      <c r="L31" s="175">
        <f>SUM('[5]117325'!$B$11:$B$18)</f>
        <v>786</v>
      </c>
      <c r="M31" s="175">
        <v>869</v>
      </c>
      <c r="N31" s="177">
        <f t="shared" si="57"/>
        <v>0.90448791714614496</v>
      </c>
      <c r="O31" s="178">
        <f t="shared" si="58"/>
        <v>12.5</v>
      </c>
      <c r="P31" s="179"/>
      <c r="Q31" s="66">
        <v>0.35</v>
      </c>
      <c r="R31" s="175">
        <f>SUM('[4]117325'!$F$199:$Y$199)</f>
        <v>234</v>
      </c>
      <c r="S31" s="175">
        <v>315</v>
      </c>
      <c r="T31" s="177">
        <f t="shared" si="59"/>
        <v>0.74285714285714288</v>
      </c>
      <c r="U31" s="178">
        <f t="shared" si="27"/>
        <v>6.25</v>
      </c>
      <c r="V31" s="179"/>
      <c r="W31" s="66">
        <v>9.8000000000000004E-2</v>
      </c>
      <c r="X31" s="175">
        <f>SUM('[6]117325'!$S$48+'[6]117325'!$T$48)</f>
        <v>5</v>
      </c>
      <c r="Y31" s="175">
        <v>42</v>
      </c>
      <c r="Z31" s="177">
        <f t="shared" si="28"/>
        <v>0.11904761904761904</v>
      </c>
      <c r="AA31" s="178">
        <f t="shared" si="60"/>
        <v>6.25</v>
      </c>
      <c r="AB31" s="181">
        <f t="shared" si="29"/>
        <v>12.5</v>
      </c>
      <c r="AC31" s="179"/>
      <c r="AD31" s="66">
        <v>0.23300000000000001</v>
      </c>
      <c r="AE31" s="175">
        <f>'[7]117325'!$C$36+'[7]117325'!$C$37</f>
        <v>162</v>
      </c>
      <c r="AF31" s="175">
        <v>449</v>
      </c>
      <c r="AG31" s="177">
        <f t="shared" si="6"/>
        <v>0.36080178173719374</v>
      </c>
      <c r="AH31" s="178">
        <f t="shared" si="61"/>
        <v>12.5</v>
      </c>
      <c r="AI31" s="179"/>
      <c r="AJ31" s="66">
        <v>0.85299999999999998</v>
      </c>
      <c r="AK31" s="175">
        <f>'[7]117325'!$C$63+'[7]117325'!$C$60+'[7]117325'!$C$61+'[7]117325'!$C$62</f>
        <v>313</v>
      </c>
      <c r="AL31" s="175">
        <f>'[7]117325'!$C$17</f>
        <v>346</v>
      </c>
      <c r="AM31" s="177">
        <f t="shared" si="8"/>
        <v>0.90462427745664742</v>
      </c>
      <c r="AN31" s="178">
        <f t="shared" si="62"/>
        <v>12.5</v>
      </c>
      <c r="AO31" s="179"/>
      <c r="AP31" s="66">
        <v>0.26400000000000001</v>
      </c>
      <c r="AQ31" s="175">
        <f>'[7]117325'!$C$35+'[7]117325'!$C$34</f>
        <v>416</v>
      </c>
      <c r="AR31" s="175">
        <v>1019</v>
      </c>
      <c r="AS31" s="177">
        <f t="shared" si="10"/>
        <v>0.40824337585868498</v>
      </c>
      <c r="AT31" s="178">
        <f t="shared" si="63"/>
        <v>12.5</v>
      </c>
      <c r="AU31" s="179"/>
      <c r="AV31" s="66">
        <v>0.65500000000000003</v>
      </c>
      <c r="AW31" s="175">
        <f>SUM('[4]117325'!$J$62:$K$62)</f>
        <v>23</v>
      </c>
      <c r="AX31" s="175">
        <f>SUM('[4]117325'!$J$61:$K$61)</f>
        <v>32</v>
      </c>
      <c r="AY31" s="177">
        <f t="shared" si="12"/>
        <v>0.71875</v>
      </c>
      <c r="AZ31" s="178">
        <f t="shared" si="64"/>
        <v>12.5</v>
      </c>
      <c r="BA31" s="179"/>
      <c r="BB31" s="180">
        <v>0.25</v>
      </c>
      <c r="BC31" s="175"/>
      <c r="BD31" s="175"/>
      <c r="BE31" s="177">
        <f t="shared" si="65"/>
        <v>1</v>
      </c>
      <c r="BF31" s="182">
        <v>6.25E-2</v>
      </c>
      <c r="BG31" s="179"/>
      <c r="BH31" s="180">
        <v>0.8</v>
      </c>
      <c r="BI31" s="175">
        <v>1</v>
      </c>
      <c r="BJ31" s="175">
        <v>1</v>
      </c>
      <c r="BK31" s="177">
        <f t="shared" si="66"/>
        <v>1</v>
      </c>
      <c r="BL31" s="178">
        <f t="shared" si="30"/>
        <v>12.5</v>
      </c>
      <c r="BM31" s="183"/>
      <c r="BN31" s="184"/>
      <c r="BO31" s="185">
        <f t="shared" si="67"/>
        <v>100</v>
      </c>
      <c r="BP31" s="186" t="str">
        <f t="shared" si="68"/>
        <v>Tramo 1: 100% C. Variable</v>
      </c>
      <c r="BQ31" s="187">
        <v>90</v>
      </c>
      <c r="CN31" s="71" t="s">
        <v>34</v>
      </c>
      <c r="CO31" s="188">
        <f t="shared" si="69"/>
        <v>0.77</v>
      </c>
      <c r="CP31" s="96">
        <f t="shared" si="69"/>
        <v>9</v>
      </c>
      <c r="CQ31" s="96">
        <f t="shared" si="69"/>
        <v>10</v>
      </c>
      <c r="CR31" s="188">
        <f t="shared" si="69"/>
        <v>0.9</v>
      </c>
      <c r="CS31" s="189">
        <f t="shared" si="69"/>
        <v>12.5</v>
      </c>
      <c r="CT31" s="71" t="s">
        <v>34</v>
      </c>
      <c r="CU31" s="188">
        <f t="shared" si="70"/>
        <v>0.9</v>
      </c>
      <c r="CV31" s="190">
        <f t="shared" si="70"/>
        <v>786</v>
      </c>
      <c r="CW31" s="190">
        <f t="shared" si="70"/>
        <v>869</v>
      </c>
      <c r="CX31" s="188">
        <f t="shared" si="70"/>
        <v>0.90448791714614496</v>
      </c>
      <c r="CY31" s="189">
        <f t="shared" si="70"/>
        <v>12.5</v>
      </c>
      <c r="CZ31" s="71" t="s">
        <v>34</v>
      </c>
      <c r="DA31" s="192">
        <f t="shared" si="71"/>
        <v>0.35</v>
      </c>
      <c r="DB31" s="190">
        <f t="shared" si="71"/>
        <v>234</v>
      </c>
      <c r="DC31" s="190">
        <f t="shared" si="71"/>
        <v>315</v>
      </c>
      <c r="DD31" s="188">
        <f t="shared" si="71"/>
        <v>0.74285714285714288</v>
      </c>
      <c r="DE31" s="189">
        <f t="shared" si="71"/>
        <v>6.25</v>
      </c>
      <c r="DF31" s="71" t="s">
        <v>34</v>
      </c>
      <c r="DG31" s="192">
        <f t="shared" si="72"/>
        <v>9.8000000000000004E-2</v>
      </c>
      <c r="DH31" s="190">
        <f t="shared" si="72"/>
        <v>5</v>
      </c>
      <c r="DI31" s="190">
        <f t="shared" si="72"/>
        <v>42</v>
      </c>
      <c r="DJ31" s="188">
        <f t="shared" si="72"/>
        <v>0.11904761904761904</v>
      </c>
      <c r="DK31" s="189">
        <f t="shared" si="72"/>
        <v>6.25</v>
      </c>
      <c r="DL31" s="191">
        <f t="shared" si="72"/>
        <v>12.5</v>
      </c>
      <c r="DM31" s="71" t="s">
        <v>34</v>
      </c>
      <c r="DN31" s="192">
        <f t="shared" si="73"/>
        <v>0.23300000000000001</v>
      </c>
      <c r="DO31" s="190">
        <f t="shared" si="73"/>
        <v>162</v>
      </c>
      <c r="DP31" s="190">
        <f t="shared" si="73"/>
        <v>449</v>
      </c>
      <c r="DQ31" s="188">
        <f t="shared" si="73"/>
        <v>0.36080178173719374</v>
      </c>
      <c r="DR31" s="189">
        <f t="shared" si="73"/>
        <v>12.5</v>
      </c>
      <c r="DS31" s="71" t="s">
        <v>34</v>
      </c>
      <c r="DT31" s="192">
        <f t="shared" si="74"/>
        <v>0.85299999999999998</v>
      </c>
      <c r="DU31" s="190">
        <f t="shared" si="74"/>
        <v>313</v>
      </c>
      <c r="DV31" s="190">
        <f t="shared" si="74"/>
        <v>346</v>
      </c>
      <c r="DW31" s="188">
        <f t="shared" si="74"/>
        <v>0.90462427745664742</v>
      </c>
      <c r="DX31" s="189">
        <f t="shared" si="74"/>
        <v>12.5</v>
      </c>
      <c r="DY31" s="71" t="s">
        <v>34</v>
      </c>
      <c r="DZ31" s="192">
        <f t="shared" si="75"/>
        <v>0.26400000000000001</v>
      </c>
      <c r="EA31" s="190">
        <f t="shared" si="75"/>
        <v>416</v>
      </c>
      <c r="EB31" s="190">
        <f t="shared" si="75"/>
        <v>1019</v>
      </c>
      <c r="EC31" s="188">
        <f t="shared" si="75"/>
        <v>0.40824337585868498</v>
      </c>
      <c r="ED31" s="189">
        <f t="shared" si="75"/>
        <v>12.5</v>
      </c>
      <c r="EE31" s="71" t="s">
        <v>34</v>
      </c>
      <c r="EF31" s="192">
        <f t="shared" si="76"/>
        <v>0.65500000000000003</v>
      </c>
      <c r="EG31" s="190">
        <f t="shared" si="76"/>
        <v>23</v>
      </c>
      <c r="EH31" s="190">
        <f t="shared" si="76"/>
        <v>32</v>
      </c>
      <c r="EI31" s="188">
        <f t="shared" si="76"/>
        <v>0.71875</v>
      </c>
      <c r="EJ31" s="189">
        <f t="shared" si="76"/>
        <v>12.5</v>
      </c>
      <c r="EK31" s="71" t="s">
        <v>34</v>
      </c>
      <c r="EL31" s="192">
        <f t="shared" si="77"/>
        <v>0.8</v>
      </c>
      <c r="EM31" s="190">
        <f t="shared" si="77"/>
        <v>1</v>
      </c>
      <c r="EN31" s="190">
        <f t="shared" si="77"/>
        <v>1</v>
      </c>
      <c r="EO31" s="188">
        <f t="shared" si="77"/>
        <v>1</v>
      </c>
      <c r="EP31" s="189">
        <f t="shared" si="77"/>
        <v>12.5</v>
      </c>
      <c r="EQ31" s="214">
        <f t="shared" si="78"/>
        <v>100</v>
      </c>
    </row>
    <row r="32" spans="1:147" ht="12.75" outlineLevel="2" x14ac:dyDescent="0.2">
      <c r="A32" s="173" t="s">
        <v>231</v>
      </c>
      <c r="B32" s="71" t="s">
        <v>35</v>
      </c>
      <c r="C32" s="71" t="s">
        <v>33</v>
      </c>
      <c r="D32" s="174"/>
      <c r="E32" s="66">
        <v>0.53300000000000003</v>
      </c>
      <c r="F32" s="175">
        <f>SUM('[4]117313'!$J$25:$M$25)+SUM('[4]117313'!$J$27:$M$27)+SUM('[4]117418'!$J$25:$M$25)+SUM('[4]117418'!$J$27:$M$27)+SUM('[4]117419'!$J$25:$M$25)+SUM('[4]117419'!$J$27:$M$27)+SUM('[4]117422'!$J$25:$M$25)+SUM('[4]117422'!$J$27:$M$27)+SUM('[4]117464'!$J$25:$M$25)+SUM('[4]117464'!$J$27:$M$27)+SUM('[4]117468'!$J$25:$M$25)+SUM('[4]117468'!$J$27:$M$27)</f>
        <v>6</v>
      </c>
      <c r="G32" s="176">
        <v>9</v>
      </c>
      <c r="H32" s="177">
        <f t="shared" si="55"/>
        <v>0.66666666666666663</v>
      </c>
      <c r="I32" s="178">
        <f t="shared" si="56"/>
        <v>12.5</v>
      </c>
      <c r="J32" s="179"/>
      <c r="K32" s="180">
        <v>0.9</v>
      </c>
      <c r="L32" s="175">
        <f>SUM('[5]117313'!$B$11:$B$18)+SUM('[5]117418'!$B$11:$B$18)+SUM('[5]117419'!$B$11:$B$18)+SUM('[5]117422'!$B$11:$B$18)+SUM('[5]117464'!$B$11:$B$18)+SUM('[5]117468'!$B$11:$B$18)</f>
        <v>2486</v>
      </c>
      <c r="M32" s="175">
        <v>2324</v>
      </c>
      <c r="N32" s="177">
        <f t="shared" si="57"/>
        <v>1.0697074010327023</v>
      </c>
      <c r="O32" s="178">
        <f t="shared" si="58"/>
        <v>12.5</v>
      </c>
      <c r="P32" s="179"/>
      <c r="Q32" s="66">
        <v>0.35</v>
      </c>
      <c r="R32" s="175">
        <f>SUM('[4]117313'!$F$199:$Y$199)+SUM('[4]117418'!$F$199:$Y$199)+SUM('[4]117419'!$F$199:$Y$199)+SUM('[4]117422'!$F$199:$Y$199)+SUM('[4]117464'!$F$199:$Y$199)+SUM('[4]117468'!$F$199:$Y$199)</f>
        <v>501</v>
      </c>
      <c r="S32" s="175">
        <v>1016</v>
      </c>
      <c r="T32" s="177">
        <f t="shared" si="59"/>
        <v>0.49311023622047245</v>
      </c>
      <c r="U32" s="178">
        <f t="shared" si="27"/>
        <v>6.25</v>
      </c>
      <c r="V32" s="179"/>
      <c r="W32" s="66">
        <v>0.11</v>
      </c>
      <c r="X32" s="175">
        <f>SUM('[6]117313'!$S$48+'[6]117313'!$T$48)+SUM('[6]117418'!$S$48+'[6]117418'!$T$48)+SUM('[6]117419'!$S$48+'[6]117419'!$T$48)+SUM('[6]117422'!$S$48+'[6]117422'!$T$48)+SUM('[6]117464'!$S$48+'[6]117464'!$T$48)+SUM('[6]117468'!$S$48+'[6]117468'!$T$48)</f>
        <v>21</v>
      </c>
      <c r="Y32" s="175">
        <v>143.75</v>
      </c>
      <c r="Z32" s="177">
        <f t="shared" si="28"/>
        <v>0.14608695652173914</v>
      </c>
      <c r="AA32" s="178">
        <f t="shared" si="60"/>
        <v>6.25</v>
      </c>
      <c r="AB32" s="181">
        <f t="shared" si="29"/>
        <v>12.5</v>
      </c>
      <c r="AC32" s="179"/>
      <c r="AD32" s="66">
        <v>0.28199999999999997</v>
      </c>
      <c r="AE32" s="175">
        <f>'[7]117313'!$C$36+'[7]117313'!$C$37+'[7]117418'!$C$36+'[7]117418'!$C$37+'[7]117419'!$C$36+'[7]117419'!$C$37+'[7]117422'!$C$36+'[7]117422'!$C$37+'[7]117464'!$C$36+'[7]117464'!$C$37+'[7]117468'!$C$36+'[7]117468'!$C$37</f>
        <v>496</v>
      </c>
      <c r="AF32" s="175">
        <v>1461</v>
      </c>
      <c r="AG32" s="177">
        <f t="shared" si="6"/>
        <v>0.33949349760438058</v>
      </c>
      <c r="AH32" s="178">
        <f t="shared" si="61"/>
        <v>12.5</v>
      </c>
      <c r="AI32" s="179"/>
      <c r="AJ32" s="66">
        <v>0.92400000000000004</v>
      </c>
      <c r="AK32" s="175">
        <f>'[7]117313'!$C$63+'[7]117313'!$C$60+'[7]117313'!$C$61+'[7]117313'!$C$62+'[7]117418'!$C$63+'[7]117418'!$C$60+'[7]117418'!$C$61+'[7]117418'!$C$62+'[7]117419'!$C$63+'[7]117419'!$C$60+'[7]117419'!$C$61+'[7]117419'!$C$62+'[7]117422'!$C$63+'[7]117422'!$C$60+'[7]117422'!$C$61+'[7]117422'!$C$62+'[7]117464'!$C$63+'[7]117464'!$C$60+'[7]117464'!$C$61+'[7]117464'!$C$62+'[7]117468'!$C$63+'[7]117468'!$C$60+'[7]117468'!$C$61+'[7]117468'!$C$62</f>
        <v>1195</v>
      </c>
      <c r="AL32" s="175">
        <f>'[7]117313'!$C$17+'[7]117418'!$C$17+'[7]117419'!$C$17+'[7]117422'!$C$17+'[7]117464'!$C$17+'[7]117468'!$C$17</f>
        <v>1467</v>
      </c>
      <c r="AM32" s="177">
        <f t="shared" si="8"/>
        <v>0.81458759372869805</v>
      </c>
      <c r="AN32" s="178">
        <f t="shared" si="62"/>
        <v>11.019853811264854</v>
      </c>
      <c r="AO32" s="179"/>
      <c r="AP32" s="66">
        <v>0.34699999999999998</v>
      </c>
      <c r="AQ32" s="175">
        <f>'[7]117313'!$C$35+'[7]117313'!$C$34+'[7]117418'!$C$35+'[7]117418'!$C$34+'[7]117419'!$C$35+'[7]117419'!$C$34+'[7]117422'!$C$35+'[7]117422'!$C$34+'[7]117464'!$C$35+'[7]117464'!$C$34+'[7]117468'!$C$35+'[7]117468'!$C$34</f>
        <v>1492</v>
      </c>
      <c r="AR32" s="175">
        <v>3367</v>
      </c>
      <c r="AS32" s="177">
        <f t="shared" si="10"/>
        <v>0.4431244431244431</v>
      </c>
      <c r="AT32" s="178">
        <f t="shared" si="63"/>
        <v>12.5</v>
      </c>
      <c r="AU32" s="179"/>
      <c r="AV32" s="66">
        <v>0.45800000000000002</v>
      </c>
      <c r="AW32" s="175">
        <f>SUM('[4]117313'!$J$62:$K$62)+SUM('[4]117418'!$J$62:$K$62)+SUM('[4]117419'!$J$62:$K$62)+SUM('[4]117422'!$J$62:$K$62)+SUM('[4]117464'!$J$62:$K$62)+SUM('[4]117468'!$J$62:$K$62)</f>
        <v>61</v>
      </c>
      <c r="AX32" s="175">
        <f>SUM('[4]117313'!$J$61:$K$61)+SUM('[4]117418'!$J$61:$K$61)+SUM('[4]117419'!$J$61:$K$61)+SUM('[4]117422'!$J$61:$K$61)+SUM('[4]117464'!$J$61:$K$61)+SUM('[4]117468'!$J$61:$K$61)</f>
        <v>92</v>
      </c>
      <c r="AY32" s="177">
        <f t="shared" si="12"/>
        <v>0.66304347826086951</v>
      </c>
      <c r="AZ32" s="178">
        <f t="shared" si="64"/>
        <v>12.5</v>
      </c>
      <c r="BA32" s="179"/>
      <c r="BB32" s="180">
        <v>0.14000000000000001</v>
      </c>
      <c r="BC32" s="175"/>
      <c r="BD32" s="175"/>
      <c r="BE32" s="177">
        <f t="shared" si="65"/>
        <v>1</v>
      </c>
      <c r="BF32" s="182">
        <v>6.25E-2</v>
      </c>
      <c r="BG32" s="179"/>
      <c r="BH32" s="180">
        <v>0.8</v>
      </c>
      <c r="BI32" s="175">
        <v>1</v>
      </c>
      <c r="BJ32" s="175">
        <v>1</v>
      </c>
      <c r="BK32" s="177">
        <f t="shared" si="66"/>
        <v>1</v>
      </c>
      <c r="BL32" s="178">
        <f t="shared" si="30"/>
        <v>12.5</v>
      </c>
      <c r="BM32" s="183"/>
      <c r="BN32" s="184"/>
      <c r="BO32" s="185">
        <f t="shared" si="67"/>
        <v>98.519853811264852</v>
      </c>
      <c r="BP32" s="186" t="str">
        <f t="shared" si="68"/>
        <v>Tramo 1: 100% C. Variable</v>
      </c>
      <c r="BQ32" s="187">
        <v>90</v>
      </c>
      <c r="CO32" s="197">
        <v>0.9</v>
      </c>
      <c r="CP32" s="205">
        <f>SUM(CP30:CP31)</f>
        <v>23</v>
      </c>
      <c r="CQ32" s="205">
        <f>SUM(CQ30:CQ31)</f>
        <v>29</v>
      </c>
      <c r="CR32" s="199">
        <f>CP32/CQ32</f>
        <v>0.7931034482758621</v>
      </c>
      <c r="CS32" s="200">
        <f>IF(CO32="aut",$C$2,IF(CR32&gt;=CO32,$C$2,((CR32/CO32)*$C$2)))</f>
        <v>11.015325670498084</v>
      </c>
      <c r="CU32" s="197">
        <v>0.9</v>
      </c>
      <c r="CV32" s="201">
        <f>SUM(CV30:CV31)</f>
        <v>4462</v>
      </c>
      <c r="CW32" s="201">
        <f>SUM(CW30:CW31)</f>
        <v>4563</v>
      </c>
      <c r="CX32" s="199">
        <f>CV32/CW32</f>
        <v>0.97786543940390092</v>
      </c>
      <c r="CY32" s="200">
        <f>IF(CU32="aut",$C$2,IF(CX32&gt;=CU32,$C$2,((CX32/CU32)*$C$2)))</f>
        <v>12.5</v>
      </c>
      <c r="DA32" s="192">
        <f>Q32</f>
        <v>0.35</v>
      </c>
      <c r="DB32" s="201">
        <f>SUM(DB30:DB31)</f>
        <v>1658</v>
      </c>
      <c r="DC32" s="201">
        <f>SUM(DC30:DC31)</f>
        <v>2982</v>
      </c>
      <c r="DD32" s="199">
        <f>DB32/DC32</f>
        <v>0.55600268276324616</v>
      </c>
      <c r="DE32" s="200">
        <f>IF(DA32="aut",$C$2,IF(DD32&gt;=DA32,$C$2/2,((DD32/DA32)*$C$2/2)))</f>
        <v>6.25</v>
      </c>
      <c r="DG32" s="197">
        <f>DH32/DI32</f>
        <v>0.14295725297827611</v>
      </c>
      <c r="DH32" s="201">
        <f>SUM(DH30:DH31)</f>
        <v>51</v>
      </c>
      <c r="DI32" s="201">
        <f>SUM(DI30:DI31)</f>
        <v>356.75</v>
      </c>
      <c r="DJ32" s="202">
        <f>IFERROR(DG32/DG32,0%)</f>
        <v>1</v>
      </c>
      <c r="DK32" s="203">
        <f>IF(W32="aut",($C$2/2),IF(Z32&gt;=W32,$C$2/2,((Z32/W32)*$C$2/2)))</f>
        <v>6.25</v>
      </c>
      <c r="DL32" s="203">
        <f>DE32+DK32</f>
        <v>12.5</v>
      </c>
      <c r="DN32" s="197">
        <v>0.28000000000000003</v>
      </c>
      <c r="DO32" s="201">
        <f>SUM(DO30:DO31)</f>
        <v>961</v>
      </c>
      <c r="DP32" s="201">
        <f>SUM(DP30:DP31)</f>
        <v>2890</v>
      </c>
      <c r="DQ32" s="199">
        <f>DO32/DP32</f>
        <v>0.33252595155709341</v>
      </c>
      <c r="DR32" s="200">
        <f>IF(DN32="aut",$C$2,IF(DQ32&gt;=DN32,$C$2,((DQ32/DN32)*$C$2)))</f>
        <v>12.5</v>
      </c>
      <c r="DT32" s="215">
        <v>0.83</v>
      </c>
      <c r="DU32" s="201">
        <f>SUM(DU30:DU31)</f>
        <v>1967</v>
      </c>
      <c r="DV32" s="201">
        <f>SUM(DV30:DV31)</f>
        <v>2226</v>
      </c>
      <c r="DW32" s="199">
        <f>DU32/DV32</f>
        <v>0.88364779874213839</v>
      </c>
      <c r="DX32" s="200">
        <f>IF(DT32="aut",$C$2,IF(DW32&gt;=DT32,$C$2,((DW32/DT32)*$C$2)))</f>
        <v>12.5</v>
      </c>
      <c r="DZ32" s="197">
        <v>0.43</v>
      </c>
      <c r="EA32" s="201">
        <f>SUM(EA30:EA31)</f>
        <v>2281</v>
      </c>
      <c r="EB32" s="201">
        <f>SUM(EB30:EB31)</f>
        <v>6525</v>
      </c>
      <c r="EC32" s="199">
        <f>EA32/EB32</f>
        <v>0.34957854406130268</v>
      </c>
      <c r="ED32" s="200">
        <f>IF(DZ32="aut",$C$2,IF(EC32&gt;=DZ32,$C$2,((EC32/DZ32)*$C$2)))</f>
        <v>10.162166978526241</v>
      </c>
      <c r="EF32" s="197">
        <v>0.6</v>
      </c>
      <c r="EG32" s="201">
        <f>SUM(EG30:EG31)</f>
        <v>117</v>
      </c>
      <c r="EH32" s="201">
        <f>SUM(EH30:EH31)</f>
        <v>195</v>
      </c>
      <c r="EI32" s="199">
        <f>EG32/EH32</f>
        <v>0.6</v>
      </c>
      <c r="EJ32" s="200">
        <f>IF(EF32="aut",$C$2,IF(EI32&gt;=EF32,$C$2,((EI32/EF32)*$C$2)))</f>
        <v>12.5</v>
      </c>
      <c r="EL32" s="197">
        <v>0.8</v>
      </c>
      <c r="EM32" s="201">
        <f>SUM(EM30:EM31)</f>
        <v>2</v>
      </c>
      <c r="EN32" s="201">
        <f>SUM(EN30:EN31)</f>
        <v>2</v>
      </c>
      <c r="EO32" s="199">
        <f>EM32/EN32</f>
        <v>1</v>
      </c>
      <c r="EP32" s="200">
        <f>IF(EL32="aut",$C$2,IF(EO32&gt;=EL32,$C$2,((EO32/EL32)*$C$2)))</f>
        <v>12.5</v>
      </c>
      <c r="EQ32" s="204">
        <f t="shared" si="78"/>
        <v>96.17749264902433</v>
      </c>
    </row>
    <row r="33" spans="1:147" ht="12.75" outlineLevel="2" x14ac:dyDescent="0.2">
      <c r="A33" s="173" t="s">
        <v>233</v>
      </c>
      <c r="B33" s="71" t="s">
        <v>36</v>
      </c>
      <c r="C33" s="71" t="s">
        <v>33</v>
      </c>
      <c r="D33" s="174"/>
      <c r="E33" s="66">
        <v>0.79500000000000004</v>
      </c>
      <c r="F33" s="175">
        <f>SUM('[4]117311'!$J$25:$M$25)+SUM('[4]117311'!$J$27:$M$27)+SUM('[4]117415'!$J$25:$M$25)+SUM('[4]117415'!$J$27:$M$27)+SUM('[4]117416'!$J$25:$M$25)+SUM('[4]117416'!$J$27:$M$27)+SUM('[4]117421'!$J$25:$M$25)+SUM('[4]117421'!$J$27:$M$27)+SUM('[4]117423'!$J$25:$M$25)+SUM('[4]117423'!$J$27:$M$27)+SUM('[4]117461'!$J$25:$M$25)+SUM('[4]117461'!$J$27:$M$27)+SUM('[4]117462'!$J$25:$M$25)+SUM('[4]117462'!$J$27:$M$27)</f>
        <v>17</v>
      </c>
      <c r="G33" s="176">
        <v>15</v>
      </c>
      <c r="H33" s="177">
        <f t="shared" si="55"/>
        <v>1.1333333333333333</v>
      </c>
      <c r="I33" s="178">
        <f t="shared" si="56"/>
        <v>12.5</v>
      </c>
      <c r="J33" s="179"/>
      <c r="K33" s="180">
        <v>0.9</v>
      </c>
      <c r="L33" s="175">
        <f>SUM('[5]117311'!$B$11:$B$18)+SUM('[5]117415'!$B$11:$B$18)+SUM('[5]117416'!$B$11:$B$18)+SUM('[5]117421'!$B$11:$B$18)+SUM('[5]117423'!$B$11:$B$18)+SUM('[5]117461'!$B$11:$B$18)+SUM('[5]117462'!$B$11:$B$18)</f>
        <v>4252</v>
      </c>
      <c r="M33" s="175">
        <v>4724</v>
      </c>
      <c r="N33" s="177">
        <f t="shared" si="57"/>
        <v>0.90008467400508041</v>
      </c>
      <c r="O33" s="178">
        <f t="shared" si="58"/>
        <v>12.5</v>
      </c>
      <c r="P33" s="179"/>
      <c r="Q33" s="66">
        <v>0.28799999999999998</v>
      </c>
      <c r="R33" s="175">
        <f>SUM('[4]117311'!$F$199:$Y$199)+SUM('[4]117415'!$F$199:$Y$199)+SUM('[4]117416'!$F$199:$Y$199)+SUM('[4]117421'!$F$199:$Y$199)+SUM('[4]117423'!$F$199:$Y$199)+SUM('[4]117461'!$F$199:$Y$199)+SUM('[4]117462'!$F$199:$Y$199)</f>
        <v>894</v>
      </c>
      <c r="S33" s="175">
        <v>2174</v>
      </c>
      <c r="T33" s="177">
        <f t="shared" si="59"/>
        <v>0.41122355105795766</v>
      </c>
      <c r="U33" s="178">
        <f t="shared" si="27"/>
        <v>6.25</v>
      </c>
      <c r="V33" s="179"/>
      <c r="W33" s="66">
        <v>7.5999999999999998E-2</v>
      </c>
      <c r="X33" s="175">
        <f>SUM('[6]117311'!$S$48+'[6]117311'!$T$48)+SUM('[6]117415'!$S$48+'[6]117415'!$T$48)+SUM('[6]117416'!$S$48+'[6]117416'!$T$48)+SUM('[6]117421'!$S$48+'[6]117421'!$T$48)+SUM('[6]117423'!$S$48+'[6]117423'!$T$48)+SUM('[6]117461'!$S$48+'[6]117461'!$T$48)+SUM('[6]117462'!$S$48+'[6]117462'!$T$48)</f>
        <v>29</v>
      </c>
      <c r="Y33" s="175">
        <v>284.5</v>
      </c>
      <c r="Z33" s="177">
        <f t="shared" si="28"/>
        <v>0.10193321616871705</v>
      </c>
      <c r="AA33" s="178">
        <f t="shared" si="60"/>
        <v>6.25</v>
      </c>
      <c r="AB33" s="181">
        <f t="shared" si="29"/>
        <v>12.5</v>
      </c>
      <c r="AC33" s="179"/>
      <c r="AD33" s="66">
        <v>0.24099999999999999</v>
      </c>
      <c r="AE33" s="175">
        <f>'[7]117311'!$C$36+'[7]117311'!$C$37+'[7]117415'!$C$36+'[7]117415'!$C$37+'[7]117416'!$C$36+'[7]117416'!$C$37+'[7]117421'!$C$36+'[7]117421'!$C$37+'[7]117423'!$C$36+'[7]117423'!$C$37+'[7]117461'!$C$36+'[7]117461'!$C$37+'[7]117462'!$C$36+'[7]117462'!$C$37</f>
        <v>857</v>
      </c>
      <c r="AF33" s="175">
        <v>2736</v>
      </c>
      <c r="AG33" s="177">
        <f t="shared" si="6"/>
        <v>0.3132309941520468</v>
      </c>
      <c r="AH33" s="178">
        <f t="shared" si="61"/>
        <v>12.5</v>
      </c>
      <c r="AI33" s="179"/>
      <c r="AJ33" s="66">
        <v>0.69299999999999995</v>
      </c>
      <c r="AK33" s="175">
        <f>'[7]117311'!$C$63+'[7]117311'!$C$60+'[7]117311'!$C$61+'[7]117311'!$C$62+'[7]117415'!$C$63+'[7]117415'!$C$60+'[7]117415'!$C$61+'[7]117415'!$C$62+'[7]117416'!$C$63+'[7]117416'!$C$60+'[7]117416'!$C$61+'[7]117416'!$C$62+'[7]117421'!$C$63+'[7]117421'!$C$60+'[7]117421'!$C$61+'[7]117421'!$C$62+'[7]117423'!$C$63+'[7]117423'!$C$60+'[7]117423'!$C$61+'[7]117423'!$C$62+'[7]117461'!$C$63+'[7]117461'!$C$60+'[7]117461'!$C$61+'[7]117461'!$C$62+'[7]117462'!$C$63+'[7]117462'!$C$60+'[7]117462'!$C$61+'[7]117462'!$C$62</f>
        <v>1681</v>
      </c>
      <c r="AL33" s="175">
        <f>'[7]117311'!$C$17+'[7]117415'!$C$17+'[7]117416'!$C$17+'[7]117421'!$C$17+'[7]117423'!$C$17+'[7]117461'!$C$17+'[7]117462'!$C$17</f>
        <v>1886</v>
      </c>
      <c r="AM33" s="177">
        <f t="shared" si="8"/>
        <v>0.89130434782608692</v>
      </c>
      <c r="AN33" s="178">
        <f t="shared" si="62"/>
        <v>12.5</v>
      </c>
      <c r="AO33" s="179"/>
      <c r="AP33" s="66">
        <v>0.32300000000000001</v>
      </c>
      <c r="AQ33" s="175">
        <f>'[7]117311'!$C$35+'[7]117311'!$C$34+'[7]117415'!$C$35+'[7]117415'!$C$34+'[7]117416'!$C$35+'[7]117416'!$C$34+'[7]117421'!$C$35+'[7]117421'!$C$34+'[7]117423'!$C$35+'[7]117423'!$C$34+'[7]117461'!$C$35+'[7]117461'!$C$34+'[7]117462'!$C$35+'[7]117462'!$C$34</f>
        <v>2085</v>
      </c>
      <c r="AR33" s="175">
        <v>6226</v>
      </c>
      <c r="AS33" s="177">
        <f t="shared" si="10"/>
        <v>0.33488596209444266</v>
      </c>
      <c r="AT33" s="178">
        <f t="shared" si="63"/>
        <v>12.5</v>
      </c>
      <c r="AU33" s="179"/>
      <c r="AV33" s="66">
        <v>0.73</v>
      </c>
      <c r="AW33" s="175">
        <v>42</v>
      </c>
      <c r="AX33" s="175">
        <f>SUM('[4]117311'!$J$61:$K$61)+SUM('[4]117415'!$J$61:$K$61)+SUM('[4]117416'!$J$61:$K$61)+SUM('[4]117421'!$J$61:$K$61)+SUM('[4]117423'!$J$61:$K$61)+SUM('[4]117461'!$J$61:$K$61)+SUM('[4]117462'!$J$61:$K$61)</f>
        <v>121</v>
      </c>
      <c r="AY33" s="177">
        <f t="shared" si="12"/>
        <v>0.34710743801652894</v>
      </c>
      <c r="AZ33" s="178">
        <f t="shared" si="64"/>
        <v>5.94362051398166</v>
      </c>
      <c r="BA33" s="179"/>
      <c r="BB33" s="180">
        <v>0.13</v>
      </c>
      <c r="BC33" s="175"/>
      <c r="BD33" s="175"/>
      <c r="BE33" s="177">
        <f t="shared" si="65"/>
        <v>1</v>
      </c>
      <c r="BF33" s="182">
        <v>6.25E-2</v>
      </c>
      <c r="BG33" s="179"/>
      <c r="BH33" s="180">
        <v>0.8</v>
      </c>
      <c r="BI33" s="175">
        <v>1</v>
      </c>
      <c r="BJ33" s="175">
        <v>1</v>
      </c>
      <c r="BK33" s="177">
        <f t="shared" si="66"/>
        <v>1</v>
      </c>
      <c r="BL33" s="178">
        <f t="shared" si="30"/>
        <v>12.5</v>
      </c>
      <c r="BM33" s="183"/>
      <c r="BN33" s="184"/>
      <c r="BO33" s="185">
        <f t="shared" si="67"/>
        <v>93.443620513981656</v>
      </c>
      <c r="BP33" s="186" t="str">
        <f t="shared" si="68"/>
        <v>Tramo 1: 100% C. Variable</v>
      </c>
      <c r="BQ33" s="187">
        <v>90</v>
      </c>
      <c r="CN33" s="71" t="s">
        <v>36</v>
      </c>
      <c r="CO33" s="188">
        <f t="shared" ref="CO33:CS34" si="79">E33</f>
        <v>0.79500000000000004</v>
      </c>
      <c r="CP33" s="96">
        <f t="shared" si="79"/>
        <v>17</v>
      </c>
      <c r="CQ33" s="96">
        <f t="shared" si="79"/>
        <v>15</v>
      </c>
      <c r="CR33" s="188">
        <f t="shared" si="79"/>
        <v>1.1333333333333333</v>
      </c>
      <c r="CS33" s="189">
        <f t="shared" si="79"/>
        <v>12.5</v>
      </c>
      <c r="CT33" s="71" t="s">
        <v>36</v>
      </c>
      <c r="CU33" s="188">
        <f t="shared" ref="CU33:CY34" si="80">K33</f>
        <v>0.9</v>
      </c>
      <c r="CV33" s="190">
        <f t="shared" si="80"/>
        <v>4252</v>
      </c>
      <c r="CW33" s="190">
        <f t="shared" si="80"/>
        <v>4724</v>
      </c>
      <c r="CX33" s="188">
        <f t="shared" si="80"/>
        <v>0.90008467400508041</v>
      </c>
      <c r="CY33" s="189">
        <f t="shared" si="80"/>
        <v>12.5</v>
      </c>
      <c r="CZ33" s="71" t="s">
        <v>36</v>
      </c>
      <c r="DA33" s="192">
        <f>Q33</f>
        <v>0.28799999999999998</v>
      </c>
      <c r="DB33" s="190">
        <f t="shared" ref="DB33:DE34" si="81">R33</f>
        <v>894</v>
      </c>
      <c r="DC33" s="190">
        <f t="shared" si="81"/>
        <v>2174</v>
      </c>
      <c r="DD33" s="188">
        <f t="shared" si="81"/>
        <v>0.41122355105795766</v>
      </c>
      <c r="DE33" s="189">
        <f t="shared" si="81"/>
        <v>6.25</v>
      </c>
      <c r="DF33" s="71" t="s">
        <v>36</v>
      </c>
      <c r="DG33" s="192">
        <f t="shared" ref="DG33:DL34" si="82">W33</f>
        <v>7.5999999999999998E-2</v>
      </c>
      <c r="DH33" s="190">
        <f t="shared" si="82"/>
        <v>29</v>
      </c>
      <c r="DI33" s="190">
        <f t="shared" si="82"/>
        <v>284.5</v>
      </c>
      <c r="DJ33" s="188">
        <f t="shared" si="82"/>
        <v>0.10193321616871705</v>
      </c>
      <c r="DK33" s="189">
        <f t="shared" si="82"/>
        <v>6.25</v>
      </c>
      <c r="DL33" s="191">
        <f t="shared" si="82"/>
        <v>12.5</v>
      </c>
      <c r="DM33" s="71" t="s">
        <v>36</v>
      </c>
      <c r="DN33" s="192">
        <f t="shared" ref="DN33:DR34" si="83">AD33</f>
        <v>0.24099999999999999</v>
      </c>
      <c r="DO33" s="190">
        <f t="shared" si="83"/>
        <v>857</v>
      </c>
      <c r="DP33" s="190">
        <f t="shared" si="83"/>
        <v>2736</v>
      </c>
      <c r="DQ33" s="188">
        <f t="shared" si="83"/>
        <v>0.3132309941520468</v>
      </c>
      <c r="DR33" s="189">
        <f t="shared" si="83"/>
        <v>12.5</v>
      </c>
      <c r="DS33" s="71" t="s">
        <v>36</v>
      </c>
      <c r="DT33" s="192">
        <f t="shared" ref="DT33:DX34" si="84">AJ33</f>
        <v>0.69299999999999995</v>
      </c>
      <c r="DU33" s="190">
        <f t="shared" si="84"/>
        <v>1681</v>
      </c>
      <c r="DV33" s="190">
        <f t="shared" si="84"/>
        <v>1886</v>
      </c>
      <c r="DW33" s="188">
        <f t="shared" si="84"/>
        <v>0.89130434782608692</v>
      </c>
      <c r="DX33" s="189">
        <f t="shared" si="84"/>
        <v>12.5</v>
      </c>
      <c r="DY33" s="71" t="s">
        <v>36</v>
      </c>
      <c r="DZ33" s="192">
        <f t="shared" ref="DZ33:ED34" si="85">AP33</f>
        <v>0.32300000000000001</v>
      </c>
      <c r="EA33" s="190">
        <f t="shared" si="85"/>
        <v>2085</v>
      </c>
      <c r="EB33" s="190">
        <f t="shared" si="85"/>
        <v>6226</v>
      </c>
      <c r="EC33" s="188">
        <f t="shared" si="85"/>
        <v>0.33488596209444266</v>
      </c>
      <c r="ED33" s="189">
        <f t="shared" si="85"/>
        <v>12.5</v>
      </c>
      <c r="EE33" s="71" t="s">
        <v>36</v>
      </c>
      <c r="EF33" s="192">
        <f t="shared" ref="EF33:EJ34" si="86">AV33</f>
        <v>0.73</v>
      </c>
      <c r="EG33" s="190">
        <f t="shared" si="86"/>
        <v>42</v>
      </c>
      <c r="EH33" s="190">
        <f t="shared" si="86"/>
        <v>121</v>
      </c>
      <c r="EI33" s="188">
        <f t="shared" si="86"/>
        <v>0.34710743801652894</v>
      </c>
      <c r="EJ33" s="189">
        <f t="shared" si="86"/>
        <v>5.94362051398166</v>
      </c>
      <c r="EK33" s="71" t="s">
        <v>36</v>
      </c>
      <c r="EL33" s="192">
        <f t="shared" ref="EL33:EP34" si="87">BH33</f>
        <v>0.8</v>
      </c>
      <c r="EM33" s="190">
        <f t="shared" si="87"/>
        <v>1</v>
      </c>
      <c r="EN33" s="190">
        <f t="shared" si="87"/>
        <v>1</v>
      </c>
      <c r="EO33" s="188">
        <f t="shared" si="87"/>
        <v>1</v>
      </c>
      <c r="EP33" s="189">
        <f t="shared" si="87"/>
        <v>12.5</v>
      </c>
      <c r="EQ33" s="214">
        <f t="shared" si="78"/>
        <v>93.443620513981656</v>
      </c>
    </row>
    <row r="34" spans="1:147" ht="12.75" outlineLevel="2" x14ac:dyDescent="0.2">
      <c r="A34" s="173" t="s">
        <v>232</v>
      </c>
      <c r="B34" s="71" t="s">
        <v>37</v>
      </c>
      <c r="C34" s="71" t="s">
        <v>33</v>
      </c>
      <c r="D34" s="174"/>
      <c r="E34" s="66">
        <v>0.9</v>
      </c>
      <c r="F34" s="175">
        <f>SUM('[4]117329'!$J$25:$M$25)+SUM('[4]117329'!$J$27:$M$27)+SUM('[4]117729'!$J$25:$M$25)+(SUM('[4]117729'!$J$27:$M$27))</f>
        <v>11</v>
      </c>
      <c r="G34" s="176">
        <v>12</v>
      </c>
      <c r="H34" s="177">
        <f t="shared" si="55"/>
        <v>0.91666666666666663</v>
      </c>
      <c r="I34" s="178">
        <f t="shared" si="56"/>
        <v>12.5</v>
      </c>
      <c r="J34" s="179"/>
      <c r="K34" s="180">
        <v>0.9</v>
      </c>
      <c r="L34" s="175">
        <f>SUM('[5]117329'!$B$11:$B$18)+SUM('[5]117729'!$B$11:$B$18)</f>
        <v>5167</v>
      </c>
      <c r="M34" s="175">
        <v>5721</v>
      </c>
      <c r="N34" s="177">
        <f t="shared" si="57"/>
        <v>0.90316378255549734</v>
      </c>
      <c r="O34" s="178">
        <f t="shared" si="58"/>
        <v>12.5</v>
      </c>
      <c r="P34" s="179"/>
      <c r="Q34" s="66">
        <v>0.34399999999999997</v>
      </c>
      <c r="R34" s="175">
        <f>SUM('[4]117329'!$F$199:$Y$199)+SUM('[4]117729'!$F$199:$Y$199)</f>
        <v>1163</v>
      </c>
      <c r="S34" s="175">
        <v>2252</v>
      </c>
      <c r="T34" s="177">
        <f t="shared" si="59"/>
        <v>0.51642984014209592</v>
      </c>
      <c r="U34" s="178">
        <f t="shared" si="27"/>
        <v>6.25</v>
      </c>
      <c r="V34" s="179"/>
      <c r="W34" s="66">
        <v>0.105</v>
      </c>
      <c r="X34" s="175">
        <f>SUM('[6]117329'!$S$48+'[6]117329'!$T$48)+SUM('[6]117729'!$S$48+'[6]117729'!$T$48)</f>
        <v>45</v>
      </c>
      <c r="Y34" s="175">
        <v>354.75</v>
      </c>
      <c r="Z34" s="177">
        <f t="shared" si="28"/>
        <v>0.12684989429175475</v>
      </c>
      <c r="AA34" s="178">
        <f t="shared" si="60"/>
        <v>6.25</v>
      </c>
      <c r="AB34" s="181">
        <f t="shared" si="29"/>
        <v>12.5</v>
      </c>
      <c r="AC34" s="179"/>
      <c r="AD34" s="66">
        <v>0.30199999999999999</v>
      </c>
      <c r="AE34" s="175">
        <f>'[7]117329'!$C$36+'[7]117329'!$C$37+'[7]117729'!$C$36+'[7]117729'!$C$37</f>
        <v>824</v>
      </c>
      <c r="AF34" s="175">
        <v>3389</v>
      </c>
      <c r="AG34" s="177">
        <f t="shared" si="6"/>
        <v>0.24313956919445265</v>
      </c>
      <c r="AH34" s="178">
        <f t="shared" si="61"/>
        <v>10.063723890498869</v>
      </c>
      <c r="AI34" s="179"/>
      <c r="AJ34" s="66">
        <v>0.81200000000000006</v>
      </c>
      <c r="AK34" s="175">
        <f>'[7]117329'!$C$63+'[7]117329'!$C$60+'[7]117329'!$C$61+'[7]117329'!$C$62+'[7]117729'!$C$63+'[7]117729'!$C$60+'[7]117729'!$C$61+'[7]117729'!$C$62</f>
        <v>1640</v>
      </c>
      <c r="AL34" s="175">
        <f>'[7]117329'!$C$17+'[7]117729'!$C$17</f>
        <v>1848</v>
      </c>
      <c r="AM34" s="177">
        <f t="shared" si="8"/>
        <v>0.88744588744588748</v>
      </c>
      <c r="AN34" s="178">
        <f t="shared" si="62"/>
        <v>12.5</v>
      </c>
      <c r="AO34" s="179"/>
      <c r="AP34" s="66">
        <v>0.53900000000000003</v>
      </c>
      <c r="AQ34" s="175">
        <f>'[7]117329'!$C$35+'[7]117329'!$C$34+'[7]117729'!$C$35+'[7]117729'!$C$34</f>
        <v>2271</v>
      </c>
      <c r="AR34" s="175">
        <v>7745</v>
      </c>
      <c r="AS34" s="177">
        <f t="shared" si="10"/>
        <v>0.2932214331826985</v>
      </c>
      <c r="AT34" s="178">
        <f t="shared" si="63"/>
        <v>6.8001260014540463</v>
      </c>
      <c r="AU34" s="179"/>
      <c r="AV34" s="66">
        <v>0.6</v>
      </c>
      <c r="AW34" s="175">
        <f>SUM('[4]117329'!$J$62:$K$62)+SUM('[4]117729'!$J$62:$K$62)</f>
        <v>81</v>
      </c>
      <c r="AX34" s="175">
        <f>SUM('[4]117329'!$J$61:$K$61)+SUM('[4]117729'!$J$61:$K$61)</f>
        <v>173</v>
      </c>
      <c r="AY34" s="177">
        <f t="shared" si="12"/>
        <v>0.46820809248554912</v>
      </c>
      <c r="AZ34" s="178">
        <f t="shared" si="64"/>
        <v>9.7543352601156066</v>
      </c>
      <c r="BA34" s="179"/>
      <c r="BB34" s="180">
        <v>0.18</v>
      </c>
      <c r="BC34" s="175"/>
      <c r="BD34" s="175"/>
      <c r="BE34" s="177">
        <f t="shared" si="65"/>
        <v>1</v>
      </c>
      <c r="BF34" s="182">
        <v>6.25E-2</v>
      </c>
      <c r="BG34" s="179"/>
      <c r="BH34" s="180">
        <v>0.8</v>
      </c>
      <c r="BI34" s="175">
        <v>1</v>
      </c>
      <c r="BJ34" s="175">
        <v>1</v>
      </c>
      <c r="BK34" s="177">
        <f t="shared" si="66"/>
        <v>1</v>
      </c>
      <c r="BL34" s="178">
        <f t="shared" si="30"/>
        <v>12.5</v>
      </c>
      <c r="BM34" s="183"/>
      <c r="BN34" s="184"/>
      <c r="BO34" s="185">
        <f t="shared" si="67"/>
        <v>89.11818515206852</v>
      </c>
      <c r="BP34" s="186" t="str">
        <f t="shared" si="68"/>
        <v>Tramo 2: 50% C. Variable</v>
      </c>
      <c r="BQ34" s="187">
        <v>90</v>
      </c>
      <c r="CN34" s="71" t="s">
        <v>37</v>
      </c>
      <c r="CO34" s="188">
        <f t="shared" si="79"/>
        <v>0.9</v>
      </c>
      <c r="CP34" s="96">
        <f t="shared" si="79"/>
        <v>11</v>
      </c>
      <c r="CQ34" s="96">
        <f t="shared" si="79"/>
        <v>12</v>
      </c>
      <c r="CR34" s="188">
        <f t="shared" si="79"/>
        <v>0.91666666666666663</v>
      </c>
      <c r="CS34" s="189">
        <f t="shared" si="79"/>
        <v>12.5</v>
      </c>
      <c r="CT34" s="71" t="s">
        <v>37</v>
      </c>
      <c r="CU34" s="188">
        <f t="shared" si="80"/>
        <v>0.9</v>
      </c>
      <c r="CV34" s="190">
        <f t="shared" si="80"/>
        <v>5167</v>
      </c>
      <c r="CW34" s="190">
        <f t="shared" si="80"/>
        <v>5721</v>
      </c>
      <c r="CX34" s="188">
        <f t="shared" si="80"/>
        <v>0.90316378255549734</v>
      </c>
      <c r="CY34" s="189">
        <f t="shared" si="80"/>
        <v>12.5</v>
      </c>
      <c r="CZ34" s="71" t="s">
        <v>37</v>
      </c>
      <c r="DA34" s="192">
        <f>Q34</f>
        <v>0.34399999999999997</v>
      </c>
      <c r="DB34" s="190">
        <f t="shared" si="81"/>
        <v>1163</v>
      </c>
      <c r="DC34" s="190">
        <f t="shared" si="81"/>
        <v>2252</v>
      </c>
      <c r="DD34" s="188">
        <f t="shared" si="81"/>
        <v>0.51642984014209592</v>
      </c>
      <c r="DE34" s="189">
        <f t="shared" si="81"/>
        <v>6.25</v>
      </c>
      <c r="DF34" s="71" t="s">
        <v>37</v>
      </c>
      <c r="DG34" s="192">
        <f t="shared" si="82"/>
        <v>0.105</v>
      </c>
      <c r="DH34" s="190">
        <f t="shared" si="82"/>
        <v>45</v>
      </c>
      <c r="DI34" s="190">
        <f t="shared" si="82"/>
        <v>354.75</v>
      </c>
      <c r="DJ34" s="188">
        <f t="shared" si="82"/>
        <v>0.12684989429175475</v>
      </c>
      <c r="DK34" s="189">
        <f t="shared" si="82"/>
        <v>6.25</v>
      </c>
      <c r="DL34" s="191">
        <f t="shared" si="82"/>
        <v>12.5</v>
      </c>
      <c r="DM34" s="71" t="s">
        <v>37</v>
      </c>
      <c r="DN34" s="192">
        <f t="shared" si="83"/>
        <v>0.30199999999999999</v>
      </c>
      <c r="DO34" s="190">
        <f t="shared" si="83"/>
        <v>824</v>
      </c>
      <c r="DP34" s="190">
        <f t="shared" si="83"/>
        <v>3389</v>
      </c>
      <c r="DQ34" s="188">
        <f t="shared" si="83"/>
        <v>0.24313956919445265</v>
      </c>
      <c r="DR34" s="189">
        <f t="shared" si="83"/>
        <v>10.063723890498869</v>
      </c>
      <c r="DS34" s="71" t="s">
        <v>37</v>
      </c>
      <c r="DT34" s="192">
        <f t="shared" si="84"/>
        <v>0.81200000000000006</v>
      </c>
      <c r="DU34" s="190">
        <f t="shared" si="84"/>
        <v>1640</v>
      </c>
      <c r="DV34" s="190">
        <f t="shared" si="84"/>
        <v>1848</v>
      </c>
      <c r="DW34" s="188">
        <f t="shared" si="84"/>
        <v>0.88744588744588748</v>
      </c>
      <c r="DX34" s="189">
        <f t="shared" si="84"/>
        <v>12.5</v>
      </c>
      <c r="DY34" s="71" t="s">
        <v>37</v>
      </c>
      <c r="DZ34" s="192">
        <f t="shared" si="85"/>
        <v>0.53900000000000003</v>
      </c>
      <c r="EA34" s="190">
        <f t="shared" si="85"/>
        <v>2271</v>
      </c>
      <c r="EB34" s="190">
        <f t="shared" si="85"/>
        <v>7745</v>
      </c>
      <c r="EC34" s="188">
        <f t="shared" si="85"/>
        <v>0.2932214331826985</v>
      </c>
      <c r="ED34" s="189">
        <f t="shared" si="85"/>
        <v>6.8001260014540463</v>
      </c>
      <c r="EE34" s="71" t="s">
        <v>37</v>
      </c>
      <c r="EF34" s="192">
        <f t="shared" si="86"/>
        <v>0.6</v>
      </c>
      <c r="EG34" s="190">
        <f t="shared" si="86"/>
        <v>81</v>
      </c>
      <c r="EH34" s="190">
        <f t="shared" si="86"/>
        <v>173</v>
      </c>
      <c r="EI34" s="188">
        <f t="shared" si="86"/>
        <v>0.46820809248554912</v>
      </c>
      <c r="EJ34" s="189">
        <f t="shared" si="86"/>
        <v>9.7543352601156066</v>
      </c>
      <c r="EK34" s="71" t="s">
        <v>37</v>
      </c>
      <c r="EL34" s="192">
        <f t="shared" si="87"/>
        <v>0.8</v>
      </c>
      <c r="EM34" s="190">
        <f t="shared" si="87"/>
        <v>1</v>
      </c>
      <c r="EN34" s="190">
        <f t="shared" si="87"/>
        <v>1</v>
      </c>
      <c r="EO34" s="188">
        <f t="shared" si="87"/>
        <v>1</v>
      </c>
      <c r="EP34" s="189">
        <f t="shared" si="87"/>
        <v>12.5</v>
      </c>
      <c r="EQ34" s="214">
        <f t="shared" si="78"/>
        <v>89.11818515206852</v>
      </c>
    </row>
    <row r="35" spans="1:147" ht="12.75" outlineLevel="2" x14ac:dyDescent="0.2">
      <c r="A35" s="173" t="s">
        <v>229</v>
      </c>
      <c r="B35" s="71" t="s">
        <v>38</v>
      </c>
      <c r="C35" s="71" t="s">
        <v>33</v>
      </c>
      <c r="D35" s="174"/>
      <c r="E35" s="66">
        <v>0.79500000000000004</v>
      </c>
      <c r="F35" s="175">
        <f>SUM('[4]117309'!$J$25:$M$25)+SUM('[4]117309'!$J$27:$M$27)+SUM('[4]117467'!$J$25:$M$25)+(SUM('[4]117467'!$J$27:$M$27)+SUM('[4]117470'!$J$25:$M$25)+(SUM('[4]117470'!$J$27:$M$27)))</f>
        <v>5</v>
      </c>
      <c r="G35" s="176">
        <v>2</v>
      </c>
      <c r="H35" s="177">
        <f t="shared" si="55"/>
        <v>2.5</v>
      </c>
      <c r="I35" s="178">
        <f t="shared" si="56"/>
        <v>12.5</v>
      </c>
      <c r="J35" s="179"/>
      <c r="K35" s="180">
        <v>0.9</v>
      </c>
      <c r="L35" s="175">
        <f>SUM('[5]117309'!$B$11:$B$18)+SUM('[5]117467'!$B$11:$B$18)+SUM('[5]117470'!$B$11:$B$18)</f>
        <v>773</v>
      </c>
      <c r="M35" s="175">
        <v>817</v>
      </c>
      <c r="N35" s="177">
        <f t="shared" si="57"/>
        <v>0.94614443084455324</v>
      </c>
      <c r="O35" s="178">
        <f t="shared" si="58"/>
        <v>12.5</v>
      </c>
      <c r="P35" s="179"/>
      <c r="Q35" s="66">
        <v>0.35</v>
      </c>
      <c r="R35" s="175">
        <f>SUM('[4]117309'!$F$199:$Y$199)+SUM('[4]117467'!$F$199:$Y$199)+SUM('[4]117470'!$F$199:$Y$199)</f>
        <v>177</v>
      </c>
      <c r="S35" s="175">
        <v>396</v>
      </c>
      <c r="T35" s="177">
        <f t="shared" si="59"/>
        <v>0.44696969696969696</v>
      </c>
      <c r="U35" s="178">
        <f t="shared" si="27"/>
        <v>6.25</v>
      </c>
      <c r="V35" s="179"/>
      <c r="W35" s="66">
        <v>0.104</v>
      </c>
      <c r="X35" s="175">
        <f>SUM('[6]117309'!$S$48+'[6]117309'!$T$48)+SUM('[6]117467'!$S$48+'[6]117467'!$T$48)+SUM('[6]117470'!$S$48+'[6]117470'!$T$48)</f>
        <v>11</v>
      </c>
      <c r="Y35" s="175">
        <v>61</v>
      </c>
      <c r="Z35" s="177">
        <f t="shared" si="28"/>
        <v>0.18032786885245902</v>
      </c>
      <c r="AA35" s="178">
        <f t="shared" si="60"/>
        <v>6.25</v>
      </c>
      <c r="AB35" s="181">
        <f t="shared" si="29"/>
        <v>12.5</v>
      </c>
      <c r="AC35" s="179"/>
      <c r="AD35" s="66">
        <v>0.24399999999999999</v>
      </c>
      <c r="AE35" s="175">
        <f>'[7]117309'!$C$36+'[7]117309'!$C$37+'[7]117467'!$C$36+'[7]117467'!$C$37+'[7]117470'!$C$36+'[7]117470'!$C$37</f>
        <v>165</v>
      </c>
      <c r="AF35" s="175">
        <v>582</v>
      </c>
      <c r="AG35" s="177">
        <f t="shared" si="6"/>
        <v>0.28350515463917525</v>
      </c>
      <c r="AH35" s="178">
        <f t="shared" si="61"/>
        <v>12.5</v>
      </c>
      <c r="AI35" s="179"/>
      <c r="AJ35" s="66">
        <v>0.78800000000000003</v>
      </c>
      <c r="AK35" s="175">
        <f>'[7]117309'!$C$63+'[7]117309'!$C$60+'[7]117309'!$C$61+'[7]117309'!$C$62+'[7]117467'!$C$63+'[7]117467'!$C$60+'[7]117467'!$C$61+'[7]117467'!$C$62+'[7]117470'!$C$63+'[7]117470'!$C$60+'[7]117470'!$C$61+'[7]117470'!$C$62</f>
        <v>350</v>
      </c>
      <c r="AL35" s="175">
        <f>'[7]117309'!$C$17+'[7]117467'!$C$17+'[7]117470'!$C$17</f>
        <v>443</v>
      </c>
      <c r="AM35" s="177">
        <f t="shared" si="8"/>
        <v>0.79006772009029347</v>
      </c>
      <c r="AN35" s="178">
        <f t="shared" si="62"/>
        <v>12.5</v>
      </c>
      <c r="AO35" s="179"/>
      <c r="AP35" s="66">
        <v>0.42399999999999999</v>
      </c>
      <c r="AQ35" s="175">
        <f>'[7]117309'!$C$35+'[7]117309'!$C$34+'[7]117467'!$C$35+'[7]117467'!$C$34+'[7]117470'!$C$35+'[7]117470'!$C$34</f>
        <v>812</v>
      </c>
      <c r="AR35" s="175">
        <v>1327</v>
      </c>
      <c r="AS35" s="177">
        <f t="shared" si="10"/>
        <v>0.611906556141673</v>
      </c>
      <c r="AT35" s="178">
        <f t="shared" si="63"/>
        <v>12.5</v>
      </c>
      <c r="AU35" s="179"/>
      <c r="AV35" s="66">
        <v>0.88900000000000001</v>
      </c>
      <c r="AW35" s="175">
        <f>SUM('[4]117309'!$J$62:$K$62)+SUM('[4]117467'!$J$62:$K$62)+SUM('[4]117470'!$J$62:$K$62)</f>
        <v>27</v>
      </c>
      <c r="AX35" s="175">
        <f>SUM('[4]117309'!$J$61:$K$61)+SUM('[4]117467'!$J$61:$K$61)+SUM('[4]117470'!$J$61:$K$61)</f>
        <v>30</v>
      </c>
      <c r="AY35" s="177">
        <f t="shared" si="12"/>
        <v>0.9</v>
      </c>
      <c r="AZ35" s="178">
        <f t="shared" si="64"/>
        <v>12.5</v>
      </c>
      <c r="BA35" s="179"/>
      <c r="BB35" s="180">
        <v>0.15</v>
      </c>
      <c r="BC35" s="175"/>
      <c r="BD35" s="175"/>
      <c r="BE35" s="177">
        <f t="shared" si="65"/>
        <v>1</v>
      </c>
      <c r="BF35" s="182">
        <v>6.25E-2</v>
      </c>
      <c r="BG35" s="179"/>
      <c r="BH35" s="180">
        <v>0.8</v>
      </c>
      <c r="BI35" s="175">
        <v>1</v>
      </c>
      <c r="BJ35" s="175">
        <v>1</v>
      </c>
      <c r="BK35" s="177">
        <f t="shared" si="66"/>
        <v>1</v>
      </c>
      <c r="BL35" s="178">
        <f t="shared" si="30"/>
        <v>12.5</v>
      </c>
      <c r="BM35" s="183"/>
      <c r="BN35" s="184"/>
      <c r="BO35" s="185">
        <f t="shared" si="67"/>
        <v>100</v>
      </c>
      <c r="BP35" s="186" t="str">
        <f t="shared" si="68"/>
        <v>Tramo 1: 100% C. Variable</v>
      </c>
      <c r="BQ35" s="187">
        <v>90</v>
      </c>
      <c r="CO35" s="197">
        <v>0.9</v>
      </c>
      <c r="CP35" s="205">
        <f>SUM(CP33:CP34)</f>
        <v>28</v>
      </c>
      <c r="CQ35" s="205">
        <f>SUM(CQ33:CQ34)</f>
        <v>27</v>
      </c>
      <c r="CR35" s="199">
        <f>CP35/CQ35</f>
        <v>1.037037037037037</v>
      </c>
      <c r="CS35" s="200">
        <f>IF(CO35="aut",$C$2,IF(CR35&gt;=CO35,$C$2,((CR35/CO35)*$C$2)))</f>
        <v>12.5</v>
      </c>
      <c r="CU35" s="197">
        <v>0.9</v>
      </c>
      <c r="CV35" s="201">
        <f>SUM(CV33:CV34)</f>
        <v>9419</v>
      </c>
      <c r="CW35" s="201">
        <f>SUM(CW33:CW34)</f>
        <v>10445</v>
      </c>
      <c r="CX35" s="199">
        <f>CV35/CW35</f>
        <v>0.90177118238391574</v>
      </c>
      <c r="CY35" s="200">
        <f>IF(CU35="aut",$C$2,IF(CX35&gt;=CU35,$C$2,((CX35/CU35)*$C$2)))</f>
        <v>12.5</v>
      </c>
      <c r="DA35" s="192">
        <f>Q35</f>
        <v>0.35</v>
      </c>
      <c r="DB35" s="201">
        <f>SUM(DB33:DB34)</f>
        <v>2057</v>
      </c>
      <c r="DC35" s="201">
        <f>SUM(DC33:DC34)</f>
        <v>4426</v>
      </c>
      <c r="DD35" s="199">
        <f>DB35/DC35</f>
        <v>0.46475372797108</v>
      </c>
      <c r="DE35" s="200">
        <f>IF(DA35="aut",$C$2,IF(DD35&gt;=DA35,$C$2/2,((DD35/DA35)*$C$2/2)))</f>
        <v>6.25</v>
      </c>
      <c r="DG35" s="197">
        <f>DH35/DI35</f>
        <v>0.11576065701994524</v>
      </c>
      <c r="DH35" s="201">
        <f>SUM(DH33:DH34)</f>
        <v>74</v>
      </c>
      <c r="DI35" s="201">
        <f>SUM(DI33:DI34)</f>
        <v>639.25</v>
      </c>
      <c r="DJ35" s="202">
        <f>IFERROR(DG35/DG35,0%)</f>
        <v>1</v>
      </c>
      <c r="DK35" s="203">
        <f>IF(W35="aut",($C$2/2),IF(Z35&gt;=W35,$C$2/2,((Z35/W35)*$C$2/2)))</f>
        <v>6.25</v>
      </c>
      <c r="DL35" s="203">
        <f>DE35+DK35</f>
        <v>12.5</v>
      </c>
      <c r="DN35" s="197">
        <v>0.28000000000000003</v>
      </c>
      <c r="DO35" s="201">
        <f>SUM(DO33:DO34)</f>
        <v>1681</v>
      </c>
      <c r="DP35" s="201">
        <f>SUM(DP33:DP34)</f>
        <v>6125</v>
      </c>
      <c r="DQ35" s="199">
        <f>DO35/DP35</f>
        <v>0.27444897959183673</v>
      </c>
      <c r="DR35" s="200">
        <f>IF(DN35="aut",$C$2,IF(DQ35&gt;=DN35,$C$2,((DQ35/DN35)*$C$2)))</f>
        <v>12.252186588921282</v>
      </c>
      <c r="DT35" s="215">
        <v>0.83</v>
      </c>
      <c r="DU35" s="201">
        <f>SUM(DU33:DU34)</f>
        <v>3321</v>
      </c>
      <c r="DV35" s="201">
        <f>SUM(DV33:DV34)</f>
        <v>3734</v>
      </c>
      <c r="DW35" s="199">
        <f>DU35/DV35</f>
        <v>0.88939475093733267</v>
      </c>
      <c r="DX35" s="200">
        <f>IF(DT35="aut",$C$2,IF(DW35&gt;=DT35,$C$2,((DW35/DT35)*$C$2)))</f>
        <v>12.5</v>
      </c>
      <c r="DZ35" s="197">
        <v>0.43</v>
      </c>
      <c r="EA35" s="201">
        <f>SUM(EA33:EA34)</f>
        <v>4356</v>
      </c>
      <c r="EB35" s="201">
        <f>SUM(EB33:EB34)</f>
        <v>13971</v>
      </c>
      <c r="EC35" s="199">
        <f>EA35/EB35</f>
        <v>0.31178870517500534</v>
      </c>
      <c r="ED35" s="200">
        <f>IF(DZ35="aut",$C$2,IF(EC35&gt;=DZ35,$C$2,((EC35/DZ35)*$C$2)))</f>
        <v>9.0636251504362022</v>
      </c>
      <c r="EF35" s="197">
        <v>0.6</v>
      </c>
      <c r="EG35" s="201">
        <f>SUM(EG33:EG34)</f>
        <v>123</v>
      </c>
      <c r="EH35" s="201">
        <f>SUM(EH33:EH34)</f>
        <v>294</v>
      </c>
      <c r="EI35" s="199">
        <f>EG35/EH35</f>
        <v>0.41836734693877553</v>
      </c>
      <c r="EJ35" s="200">
        <f>IF(EF35="aut",$C$2,IF(EI35&gt;=EF35,$C$2,((EI35/EF35)*$C$2)))</f>
        <v>8.7159863945578238</v>
      </c>
      <c r="EL35" s="197">
        <v>0.8</v>
      </c>
      <c r="EM35" s="201">
        <f>SUM(EM33:EM34)</f>
        <v>2</v>
      </c>
      <c r="EN35" s="201">
        <f>SUM(EN33:EN34)</f>
        <v>2</v>
      </c>
      <c r="EO35" s="199">
        <f>EM35/EN35</f>
        <v>1</v>
      </c>
      <c r="EP35" s="200">
        <f>IF(EL35="aut",$C$2,IF(EO35&gt;=EL35,$C$2,((EO35/EL35)*$C$2)))</f>
        <v>12.5</v>
      </c>
      <c r="EQ35" s="204">
        <f t="shared" si="78"/>
        <v>92.531798133915316</v>
      </c>
    </row>
    <row r="36" spans="1:147" ht="12.75" outlineLevel="2" x14ac:dyDescent="0.2">
      <c r="A36" s="173" t="s">
        <v>230</v>
      </c>
      <c r="B36" s="71" t="s">
        <v>39</v>
      </c>
      <c r="C36" s="71" t="s">
        <v>33</v>
      </c>
      <c r="D36" s="174"/>
      <c r="E36" s="66">
        <v>0.89200000000000002</v>
      </c>
      <c r="F36" s="175">
        <f>SUM('[4]117312'!$J$25:$M$25)+SUM('[4]117312'!$J$27:$M$27)+SUM('[4]117471'!$J$25:$M$25)+SUM('[4]117471'!$J$27:$M$27)</f>
        <v>9</v>
      </c>
      <c r="G36" s="176">
        <v>13</v>
      </c>
      <c r="H36" s="177">
        <f t="shared" si="55"/>
        <v>0.69230769230769229</v>
      </c>
      <c r="I36" s="178">
        <f t="shared" si="56"/>
        <v>9.7016212487064504</v>
      </c>
      <c r="J36" s="179"/>
      <c r="K36" s="180">
        <v>0.9</v>
      </c>
      <c r="L36" s="175">
        <f>SUM('[5]117312'!$B$11:$B$18)+SUM('[5]117471'!$B$11:$B$18)</f>
        <v>2567</v>
      </c>
      <c r="M36" s="175">
        <v>2259</v>
      </c>
      <c r="N36" s="177">
        <f t="shared" si="57"/>
        <v>1.1363435148295706</v>
      </c>
      <c r="O36" s="178">
        <f t="shared" si="58"/>
        <v>12.5</v>
      </c>
      <c r="P36" s="179"/>
      <c r="Q36" s="66">
        <v>0.27900000000000003</v>
      </c>
      <c r="R36" s="175">
        <f>SUM('[4]117312'!$F$199:$Y$199)+SUM('[4]117471'!$F$199:$Y$199)</f>
        <v>556</v>
      </c>
      <c r="S36" s="175">
        <v>1098</v>
      </c>
      <c r="T36" s="177">
        <f t="shared" si="59"/>
        <v>0.50637522768670307</v>
      </c>
      <c r="U36" s="178">
        <f t="shared" si="27"/>
        <v>6.25</v>
      </c>
      <c r="V36" s="179"/>
      <c r="W36" s="66">
        <v>0.105</v>
      </c>
      <c r="X36" s="175">
        <f>SUM('[6]117312'!$S$48+'[6]117312'!$T$48)+SUM('[6]117471'!$S$48+'[6]117471'!$T$48)</f>
        <v>34</v>
      </c>
      <c r="Y36" s="175">
        <v>143.5</v>
      </c>
      <c r="Z36" s="177">
        <f t="shared" si="28"/>
        <v>0.23693379790940766</v>
      </c>
      <c r="AA36" s="178">
        <f t="shared" si="60"/>
        <v>6.25</v>
      </c>
      <c r="AB36" s="181">
        <f t="shared" si="29"/>
        <v>12.5</v>
      </c>
      <c r="AC36" s="179"/>
      <c r="AD36" s="66">
        <v>0.34699999999999998</v>
      </c>
      <c r="AE36" s="175">
        <f>'[7]117312'!$C$36+'[7]117312'!$C$37+'[7]117471'!$C$36+'[7]117471'!$C$37</f>
        <v>403</v>
      </c>
      <c r="AF36" s="175">
        <v>1396</v>
      </c>
      <c r="AG36" s="177">
        <f t="shared" si="6"/>
        <v>0.28868194842406875</v>
      </c>
      <c r="AH36" s="178">
        <f t="shared" si="61"/>
        <v>10.399205634872795</v>
      </c>
      <c r="AI36" s="179"/>
      <c r="AJ36" s="66">
        <v>0.81599999999999995</v>
      </c>
      <c r="AK36" s="175">
        <f>'[7]117312'!$C$63+'[7]117312'!$C$60+'[7]117312'!$C$61+'[7]117312'!$C$62+'[7]117471'!$C$63+'[7]117471'!$C$60+'[7]117471'!$C$61+'[7]117471'!$C$62</f>
        <v>1083</v>
      </c>
      <c r="AL36" s="175">
        <f>'[7]117312'!$C$17+'[7]117471'!$C$17</f>
        <v>1298</v>
      </c>
      <c r="AM36" s="177">
        <f t="shared" si="8"/>
        <v>0.83436055469953774</v>
      </c>
      <c r="AN36" s="178">
        <f t="shared" si="62"/>
        <v>12.5</v>
      </c>
      <c r="AO36" s="179"/>
      <c r="AP36" s="66">
        <v>0.40600000000000003</v>
      </c>
      <c r="AQ36" s="175">
        <f>'[7]117312'!$C$35+'[7]117312'!$C$34+'[7]117471'!$C$35+'[7]117471'!$C$34</f>
        <v>1694</v>
      </c>
      <c r="AR36" s="175">
        <v>3183</v>
      </c>
      <c r="AS36" s="177">
        <f t="shared" si="10"/>
        <v>0.53220232485076968</v>
      </c>
      <c r="AT36" s="178">
        <f t="shared" si="63"/>
        <v>12.5</v>
      </c>
      <c r="AU36" s="179"/>
      <c r="AV36" s="66">
        <v>0.623</v>
      </c>
      <c r="AW36" s="175">
        <f>SUM('[4]117312'!$J$62:$K$62)+SUM('[4]117471'!$J$62:$K$62)</f>
        <v>58</v>
      </c>
      <c r="AX36" s="175">
        <f>SUM('[4]117312'!$J$61:$K$61)+SUM('[4]117471'!$J$61:$K$61)</f>
        <v>107</v>
      </c>
      <c r="AY36" s="177">
        <f t="shared" si="12"/>
        <v>0.54205607476635509</v>
      </c>
      <c r="AZ36" s="178">
        <f t="shared" si="64"/>
        <v>10.875924453578554</v>
      </c>
      <c r="BA36" s="179"/>
      <c r="BB36" s="180">
        <v>0.22</v>
      </c>
      <c r="BC36" s="175"/>
      <c r="BD36" s="175"/>
      <c r="BE36" s="177">
        <f t="shared" si="65"/>
        <v>1</v>
      </c>
      <c r="BF36" s="182">
        <v>6.25E-2</v>
      </c>
      <c r="BG36" s="179"/>
      <c r="BH36" s="180">
        <v>0.8</v>
      </c>
      <c r="BI36" s="175">
        <v>1</v>
      </c>
      <c r="BJ36" s="175">
        <v>1</v>
      </c>
      <c r="BK36" s="177">
        <f t="shared" si="66"/>
        <v>1</v>
      </c>
      <c r="BL36" s="178">
        <f t="shared" si="30"/>
        <v>12.5</v>
      </c>
      <c r="BM36" s="183"/>
      <c r="BN36" s="184"/>
      <c r="BO36" s="185">
        <f t="shared" si="67"/>
        <v>93.476751337157793</v>
      </c>
      <c r="BP36" s="186" t="str">
        <f t="shared" si="68"/>
        <v>Tramo 1: 100% C. Variable</v>
      </c>
      <c r="BQ36" s="187">
        <v>90</v>
      </c>
    </row>
    <row r="37" spans="1:147" outlineLevel="1" x14ac:dyDescent="0.2">
      <c r="B37" s="93"/>
      <c r="C37" s="73" t="s">
        <v>33</v>
      </c>
      <c r="D37" s="206"/>
      <c r="E37" s="68" t="s">
        <v>33</v>
      </c>
      <c r="F37" s="116">
        <f>SUM(F30:F36)</f>
        <v>71</v>
      </c>
      <c r="G37" s="116">
        <f>SUM(G30:G36)</f>
        <v>80</v>
      </c>
      <c r="H37" s="63">
        <f>IFERROR(F37/G37,"")</f>
        <v>0.88749999999999996</v>
      </c>
      <c r="I37" s="217"/>
      <c r="J37" s="218"/>
      <c r="K37" s="68" t="s">
        <v>33</v>
      </c>
      <c r="L37" s="116">
        <f>SUM(L30:L36)</f>
        <v>19707</v>
      </c>
      <c r="M37" s="116">
        <f>SUM(M30:M36)</f>
        <v>20408</v>
      </c>
      <c r="N37" s="63">
        <f>IFERROR(L37/M37,"")</f>
        <v>0.96565072520580164</v>
      </c>
      <c r="O37" s="217"/>
      <c r="P37" s="218"/>
      <c r="Q37" s="68" t="s">
        <v>33</v>
      </c>
      <c r="R37" s="116">
        <f>SUM(R30:R36)</f>
        <v>4949</v>
      </c>
      <c r="S37" s="116">
        <f>SUM(S30:S36)</f>
        <v>9918</v>
      </c>
      <c r="T37" s="63">
        <f>IFERROR(R37/S37,"")</f>
        <v>0.49899173220407339</v>
      </c>
      <c r="U37" s="217"/>
      <c r="V37" s="218"/>
      <c r="W37" s="73" t="s">
        <v>33</v>
      </c>
      <c r="X37" s="116">
        <f>SUM(X30:X36)</f>
        <v>191</v>
      </c>
      <c r="Y37" s="116">
        <f>SUM(Y30:Y36)</f>
        <v>1344.25</v>
      </c>
      <c r="Z37" s="63">
        <f>IFERROR(X37/Y37,"")</f>
        <v>0.14208666542681792</v>
      </c>
      <c r="AA37" s="208"/>
      <c r="AB37" s="63"/>
      <c r="AC37" s="210"/>
      <c r="AD37" s="73" t="s">
        <v>33</v>
      </c>
      <c r="AE37" s="116">
        <f>SUM(AE30:AE36)</f>
        <v>3706</v>
      </c>
      <c r="AF37" s="116">
        <f>SUM(AF30:AF36)</f>
        <v>12454</v>
      </c>
      <c r="AG37" s="63">
        <f>IFERROR(AE37/AF37,"")</f>
        <v>0.297575076280713</v>
      </c>
      <c r="AH37" s="63"/>
      <c r="AI37" s="210"/>
      <c r="AJ37" s="73" t="s">
        <v>33</v>
      </c>
      <c r="AK37" s="116">
        <f>SUM(AK30:AK36)</f>
        <v>7916</v>
      </c>
      <c r="AL37" s="116">
        <f>SUM(AL30:AL36)</f>
        <v>9168</v>
      </c>
      <c r="AM37" s="63">
        <f>IFERROR(AK37/AL37,"")</f>
        <v>0.86343804537521818</v>
      </c>
      <c r="AN37" s="63"/>
      <c r="AO37" s="210"/>
      <c r="AP37" s="68" t="s">
        <v>33</v>
      </c>
      <c r="AQ37" s="116">
        <f>SUM(AQ30:AQ36)</f>
        <v>10635</v>
      </c>
      <c r="AR37" s="116">
        <f>SUM(AR30:AR36)</f>
        <v>28373</v>
      </c>
      <c r="AS37" s="63">
        <f>IFERROR(AQ37/AR37,"")</f>
        <v>0.37482818172205973</v>
      </c>
      <c r="AT37" s="63"/>
      <c r="AU37" s="210"/>
      <c r="AV37" s="68" t="s">
        <v>33</v>
      </c>
      <c r="AW37" s="116">
        <f>SUM(AW30:AW36)</f>
        <v>386</v>
      </c>
      <c r="AX37" s="116">
        <f>SUM(AX30:AX36)</f>
        <v>718</v>
      </c>
      <c r="AY37" s="63">
        <f>IFERROR(AW37/AX37,"")</f>
        <v>0.53760445682451252</v>
      </c>
      <c r="AZ37" s="63"/>
      <c r="BA37" s="210"/>
      <c r="BB37" s="209" t="s">
        <v>33</v>
      </c>
      <c r="BC37" s="116">
        <f>SUM(BC30:BC36)</f>
        <v>0</v>
      </c>
      <c r="BD37" s="116">
        <f>SUM(BD30:BD36)</f>
        <v>0</v>
      </c>
      <c r="BE37" s="211">
        <f>IF(BB37="aut",100%,IF(BD37=0,100%,BC37/BD37))</f>
        <v>1</v>
      </c>
      <c r="BF37" s="211"/>
      <c r="BG37" s="210"/>
      <c r="BH37" s="209" t="s">
        <v>33</v>
      </c>
      <c r="BI37" s="116">
        <f>SUM(BI30:BI36)</f>
        <v>7</v>
      </c>
      <c r="BJ37" s="116">
        <f>SUM(BJ30:BJ36)</f>
        <v>7</v>
      </c>
      <c r="BK37" s="63">
        <f>IFERROR(BI37/BJ37,"")</f>
        <v>1</v>
      </c>
      <c r="BL37" s="211"/>
      <c r="BM37" s="211"/>
      <c r="BN37" s="184"/>
      <c r="BO37" s="212"/>
      <c r="BP37" s="92"/>
    </row>
    <row r="38" spans="1:147" x14ac:dyDescent="0.2">
      <c r="B38" s="219"/>
      <c r="C38" s="75" t="s">
        <v>332</v>
      </c>
      <c r="D38" s="206"/>
      <c r="E38" s="66" t="s">
        <v>333</v>
      </c>
      <c r="F38" s="220">
        <f>F21+F29+F37</f>
        <v>194</v>
      </c>
      <c r="G38" s="220">
        <f>G21+G29+G37</f>
        <v>241</v>
      </c>
      <c r="H38" s="66">
        <f>IFERROR(F38/G38,"")</f>
        <v>0.80497925311203322</v>
      </c>
      <c r="I38" s="221"/>
      <c r="J38" s="218"/>
      <c r="K38" s="66" t="s">
        <v>333</v>
      </c>
      <c r="L38" s="220">
        <f>L21+L29+L37</f>
        <v>59458</v>
      </c>
      <c r="M38" s="220">
        <f>M21+M29+M37</f>
        <v>66997</v>
      </c>
      <c r="N38" s="66">
        <f>IFERROR(L38/M38,"")</f>
        <v>0.88747257339880892</v>
      </c>
      <c r="O38" s="221"/>
      <c r="P38" s="218"/>
      <c r="Q38" s="66" t="s">
        <v>333</v>
      </c>
      <c r="R38" s="220">
        <f>R21+R29+R37</f>
        <v>16884</v>
      </c>
      <c r="S38" s="220">
        <f>S21+S29+S37</f>
        <v>36917</v>
      </c>
      <c r="T38" s="66">
        <f>IFERROR(R38/S38,"")</f>
        <v>0.4573502722323049</v>
      </c>
      <c r="U38" s="221"/>
      <c r="V38" s="218"/>
      <c r="W38" s="66" t="s">
        <v>333</v>
      </c>
      <c r="X38" s="220">
        <f>X21+X29+X37</f>
        <v>815</v>
      </c>
      <c r="Y38" s="220">
        <f>Y21+Y29+Y37</f>
        <v>4564.75</v>
      </c>
      <c r="Z38" s="66">
        <f>IFERROR(X38/Y38,"")</f>
        <v>0.17854208883290432</v>
      </c>
      <c r="AA38" s="221"/>
      <c r="AB38" s="66"/>
      <c r="AC38" s="210"/>
      <c r="AD38" s="222" t="s">
        <v>333</v>
      </c>
      <c r="AE38" s="220">
        <f>AE21+AE29+AE37</f>
        <v>11927</v>
      </c>
      <c r="AF38" s="220">
        <f>AF21+AF29+AF37</f>
        <v>42453</v>
      </c>
      <c r="AG38" s="66">
        <f>IFERROR(AE38/AF38,"")</f>
        <v>0.28094598732716181</v>
      </c>
      <c r="AH38" s="66"/>
      <c r="AI38" s="210"/>
      <c r="AJ38" s="66" t="s">
        <v>333</v>
      </c>
      <c r="AK38" s="220">
        <f>AK21+AK29+AK37</f>
        <v>24519</v>
      </c>
      <c r="AL38" s="220">
        <f>AL21+AL29+AL37</f>
        <v>31022</v>
      </c>
      <c r="AM38" s="66">
        <f>IFERROR(AK38/AL38,"")</f>
        <v>0.7903745728837599</v>
      </c>
      <c r="AN38" s="66"/>
      <c r="AO38" s="210"/>
      <c r="AP38" s="66" t="s">
        <v>333</v>
      </c>
      <c r="AQ38" s="220">
        <f>AQ21+AQ29+AQ37</f>
        <v>37465</v>
      </c>
      <c r="AR38" s="220">
        <f>AR21+AR29+AR37</f>
        <v>96491</v>
      </c>
      <c r="AS38" s="66">
        <f>IFERROR(AQ38/AR38,"")</f>
        <v>0.38827455410349154</v>
      </c>
      <c r="AT38" s="66"/>
      <c r="AU38" s="210"/>
      <c r="AV38" s="66" t="s">
        <v>333</v>
      </c>
      <c r="AW38" s="220">
        <f>AW21+AW29+AW37</f>
        <v>1473</v>
      </c>
      <c r="AX38" s="220">
        <f>AX21+AX29+AX37</f>
        <v>2491</v>
      </c>
      <c r="AY38" s="66">
        <f>IFERROR(AW38/AX38,"")</f>
        <v>0.59132878362103569</v>
      </c>
      <c r="AZ38" s="66"/>
      <c r="BA38" s="210"/>
      <c r="BB38" s="66" t="s">
        <v>333</v>
      </c>
      <c r="BC38" s="223">
        <f>BC21+BC29+BC37</f>
        <v>0</v>
      </c>
      <c r="BD38" s="223">
        <f>BD21+BD29+BD37</f>
        <v>0</v>
      </c>
      <c r="BE38" s="180">
        <f>IF(BB38="aut",100%,IF(BD38=0,100%,BC38/BD38))</f>
        <v>1</v>
      </c>
      <c r="BF38" s="180"/>
      <c r="BG38" s="210"/>
      <c r="BH38" s="66" t="s">
        <v>333</v>
      </c>
      <c r="BI38" s="223">
        <f>BI21+BI29+BI37</f>
        <v>31</v>
      </c>
      <c r="BJ38" s="223">
        <f>BJ21+BJ29+BJ37</f>
        <v>31</v>
      </c>
      <c r="BK38" s="66">
        <f>IFERROR(BI38/BJ38,"")</f>
        <v>1</v>
      </c>
      <c r="BL38" s="180"/>
      <c r="BM38" s="180"/>
      <c r="BN38" s="184"/>
      <c r="BO38" s="66"/>
      <c r="BP38" s="223"/>
    </row>
    <row r="39" spans="1:147" ht="6.75" customHeight="1" x14ac:dyDescent="0.25">
      <c r="I39"/>
      <c r="J39" s="150"/>
      <c r="AT39"/>
      <c r="AU39" s="150"/>
    </row>
    <row r="40" spans="1:147" ht="27" customHeight="1" x14ac:dyDescent="0.25">
      <c r="E40" s="677" t="s">
        <v>334</v>
      </c>
      <c r="F40" s="677"/>
      <c r="G40" s="677"/>
      <c r="H40" s="677"/>
      <c r="I40" s="677"/>
      <c r="J40" s="150"/>
      <c r="K40" s="677" t="s">
        <v>335</v>
      </c>
      <c r="L40" s="677"/>
      <c r="M40" s="677"/>
      <c r="N40" s="677"/>
      <c r="O40" s="677"/>
      <c r="P40" s="226"/>
      <c r="Q40" s="677" t="s">
        <v>336</v>
      </c>
      <c r="R40" s="677"/>
      <c r="S40" s="677"/>
      <c r="T40" s="677"/>
      <c r="U40" s="677"/>
      <c r="V40" s="150"/>
      <c r="W40" s="677" t="s">
        <v>337</v>
      </c>
      <c r="X40" s="677"/>
      <c r="Y40" s="677"/>
      <c r="Z40" s="677"/>
      <c r="AA40" s="677"/>
      <c r="AB40"/>
      <c r="AC40" s="150"/>
      <c r="AD40" s="677" t="s">
        <v>157</v>
      </c>
      <c r="AE40" s="677"/>
      <c r="AF40" s="677"/>
      <c r="AG40" s="677"/>
      <c r="AH40" s="677"/>
      <c r="AI40" s="150"/>
      <c r="AJ40" s="677" t="s">
        <v>338</v>
      </c>
      <c r="AK40" s="677"/>
      <c r="AL40" s="677"/>
      <c r="AM40" s="677"/>
      <c r="AN40" s="677"/>
      <c r="AO40" s="150"/>
      <c r="AP40" s="677" t="s">
        <v>339</v>
      </c>
      <c r="AQ40" s="677"/>
      <c r="AR40" s="677"/>
      <c r="AS40" s="677"/>
      <c r="AT40" s="677"/>
      <c r="AU40" s="150"/>
      <c r="AV40" s="677" t="s">
        <v>256</v>
      </c>
      <c r="AW40" s="677"/>
      <c r="AX40" s="677"/>
      <c r="AY40" s="677"/>
      <c r="AZ40" s="677"/>
      <c r="BA40" s="150"/>
      <c r="BB40" s="150"/>
      <c r="BC40" s="150"/>
      <c r="BD40" s="150"/>
      <c r="BE40" s="150"/>
      <c r="BF40" s="150"/>
      <c r="BG40" s="150"/>
      <c r="BH40" s="764" t="s">
        <v>340</v>
      </c>
      <c r="BI40" s="765"/>
      <c r="BJ40" s="765"/>
      <c r="BK40" s="765"/>
      <c r="BL40" s="766"/>
      <c r="BM40"/>
      <c r="BN40" s="150"/>
      <c r="BO40"/>
    </row>
    <row r="41" spans="1:147" ht="18.75" customHeight="1" x14ac:dyDescent="0.25">
      <c r="E41" s="227" t="s">
        <v>341</v>
      </c>
      <c r="F41" s="227" t="s">
        <v>1</v>
      </c>
      <c r="G41" s="227" t="s">
        <v>2</v>
      </c>
      <c r="H41" s="227" t="s">
        <v>257</v>
      </c>
      <c r="I41" s="228" t="s">
        <v>317</v>
      </c>
      <c r="J41" s="150"/>
      <c r="K41" s="228" t="s">
        <v>109</v>
      </c>
      <c r="L41" s="228" t="s">
        <v>1</v>
      </c>
      <c r="M41" s="228" t="s">
        <v>2</v>
      </c>
      <c r="N41" s="228" t="s">
        <v>257</v>
      </c>
      <c r="O41" s="228" t="s">
        <v>317</v>
      </c>
      <c r="P41" s="229"/>
      <c r="Q41" s="228" t="s">
        <v>109</v>
      </c>
      <c r="R41" s="228" t="s">
        <v>1</v>
      </c>
      <c r="S41" s="228" t="s">
        <v>2</v>
      </c>
      <c r="T41" s="228" t="s">
        <v>257</v>
      </c>
      <c r="U41" s="228" t="s">
        <v>317</v>
      </c>
      <c r="V41" s="150"/>
      <c r="W41" s="228" t="s">
        <v>109</v>
      </c>
      <c r="X41" s="228" t="s">
        <v>1</v>
      </c>
      <c r="Y41" s="228" t="s">
        <v>2</v>
      </c>
      <c r="Z41" s="228" t="s">
        <v>257</v>
      </c>
      <c r="AA41" s="228" t="s">
        <v>317</v>
      </c>
      <c r="AB41"/>
      <c r="AC41" s="150"/>
      <c r="AD41" s="230" t="s">
        <v>109</v>
      </c>
      <c r="AE41" s="228" t="s">
        <v>1</v>
      </c>
      <c r="AF41" s="228" t="s">
        <v>2</v>
      </c>
      <c r="AG41" s="228" t="s">
        <v>257</v>
      </c>
      <c r="AH41" s="228" t="s">
        <v>317</v>
      </c>
      <c r="AI41" s="150"/>
      <c r="AJ41" s="228" t="s">
        <v>109</v>
      </c>
      <c r="AK41" s="228" t="s">
        <v>1</v>
      </c>
      <c r="AL41" s="228" t="s">
        <v>2</v>
      </c>
      <c r="AM41" s="228" t="s">
        <v>257</v>
      </c>
      <c r="AN41" s="228" t="s">
        <v>317</v>
      </c>
      <c r="AO41" s="150"/>
      <c r="AP41" s="228" t="s">
        <v>109</v>
      </c>
      <c r="AQ41" s="228" t="s">
        <v>1</v>
      </c>
      <c r="AR41" s="228" t="s">
        <v>2</v>
      </c>
      <c r="AS41" s="228" t="s">
        <v>257</v>
      </c>
      <c r="AT41" s="228" t="s">
        <v>317</v>
      </c>
      <c r="AU41" s="150"/>
      <c r="AV41" s="228" t="s">
        <v>109</v>
      </c>
      <c r="AW41" s="228" t="s">
        <v>1</v>
      </c>
      <c r="AX41" s="228" t="s">
        <v>2</v>
      </c>
      <c r="AY41" s="228" t="s">
        <v>257</v>
      </c>
      <c r="AZ41" s="228" t="s">
        <v>317</v>
      </c>
      <c r="BA41" s="150"/>
      <c r="BB41" s="150"/>
      <c r="BC41" s="150"/>
      <c r="BD41" s="150"/>
      <c r="BE41" s="150"/>
      <c r="BF41" s="150"/>
      <c r="BG41" s="150"/>
      <c r="BH41" s="228" t="s">
        <v>1</v>
      </c>
      <c r="BI41" s="228" t="s">
        <v>1</v>
      </c>
      <c r="BJ41" s="228" t="s">
        <v>2</v>
      </c>
      <c r="BK41" s="228" t="s">
        <v>257</v>
      </c>
      <c r="BL41" s="228" t="s">
        <v>317</v>
      </c>
      <c r="BM41" s="231"/>
      <c r="BN41" s="231"/>
      <c r="BO41" s="229"/>
      <c r="BP41" s="231"/>
      <c r="BQ41" s="224"/>
    </row>
    <row r="42" spans="1:147" ht="15" x14ac:dyDescent="0.25">
      <c r="E42" s="232" t="s">
        <v>7</v>
      </c>
      <c r="F42" s="233">
        <f>F21</f>
        <v>111</v>
      </c>
      <c r="G42" s="233">
        <f>G21</f>
        <v>142</v>
      </c>
      <c r="H42" s="234">
        <f>H21</f>
        <v>0.78169014084507038</v>
      </c>
      <c r="I42" s="235">
        <v>0.9</v>
      </c>
      <c r="J42" s="150"/>
      <c r="K42" s="232" t="s">
        <v>7</v>
      </c>
      <c r="L42" s="233">
        <f>L21</f>
        <v>34959</v>
      </c>
      <c r="M42" s="233">
        <f>M21</f>
        <v>40970</v>
      </c>
      <c r="N42" s="234">
        <f>N21</f>
        <v>0.85328288991945322</v>
      </c>
      <c r="O42" s="235">
        <v>0.9</v>
      </c>
      <c r="P42" s="236"/>
      <c r="Q42" s="232" t="s">
        <v>7</v>
      </c>
      <c r="R42" s="233">
        <f>R21</f>
        <v>10611</v>
      </c>
      <c r="S42" s="233">
        <f>S21</f>
        <v>24618</v>
      </c>
      <c r="T42" s="234">
        <f>T21</f>
        <v>0.43102607847916158</v>
      </c>
      <c r="U42" s="235">
        <v>0.35</v>
      </c>
      <c r="V42" s="150"/>
      <c r="W42" s="232" t="s">
        <v>7</v>
      </c>
      <c r="X42" s="233">
        <f>X21</f>
        <v>543</v>
      </c>
      <c r="Y42" s="233">
        <f>Y21</f>
        <v>2904.25</v>
      </c>
      <c r="Z42" s="234">
        <f>Z21</f>
        <v>0.18696737539812344</v>
      </c>
      <c r="AA42" s="235">
        <v>0.11</v>
      </c>
      <c r="AB42"/>
      <c r="AC42" s="150"/>
      <c r="AD42" s="232" t="s">
        <v>7</v>
      </c>
      <c r="AE42" s="233">
        <f>AE21</f>
        <v>6906</v>
      </c>
      <c r="AF42" s="233">
        <f>AF21</f>
        <v>25914</v>
      </c>
      <c r="AG42" s="234">
        <f>AG21</f>
        <v>0.26649687427645286</v>
      </c>
      <c r="AH42" s="235">
        <v>0.28000000000000003</v>
      </c>
      <c r="AI42" s="150"/>
      <c r="AJ42" s="232" t="s">
        <v>7</v>
      </c>
      <c r="AK42" s="233">
        <f>AK21</f>
        <v>13565</v>
      </c>
      <c r="AL42" s="233">
        <f>AL21</f>
        <v>18351</v>
      </c>
      <c r="AM42" s="234">
        <f>AM21</f>
        <v>0.73919677401776474</v>
      </c>
      <c r="AN42" s="235">
        <v>0.9</v>
      </c>
      <c r="AO42" s="150"/>
      <c r="AP42" s="232" t="s">
        <v>7</v>
      </c>
      <c r="AQ42" s="233">
        <f>AQ21</f>
        <v>22272</v>
      </c>
      <c r="AR42" s="233">
        <f>AR21</f>
        <v>58709</v>
      </c>
      <c r="AS42" s="234">
        <f>AS21</f>
        <v>0.37936261901923046</v>
      </c>
      <c r="AT42" s="235">
        <v>0.43</v>
      </c>
      <c r="AU42" s="150"/>
      <c r="AV42" s="232" t="s">
        <v>7</v>
      </c>
      <c r="AW42" s="233">
        <f>AW21</f>
        <v>997</v>
      </c>
      <c r="AX42" s="233">
        <f>AX21</f>
        <v>1639</v>
      </c>
      <c r="AY42" s="234">
        <f>AY21</f>
        <v>0.6082977425259305</v>
      </c>
      <c r="AZ42" s="235">
        <v>0.6</v>
      </c>
      <c r="BA42" s="150"/>
      <c r="BB42" s="150"/>
      <c r="BC42" s="150"/>
      <c r="BD42" s="150"/>
      <c r="BE42" s="150"/>
      <c r="BF42" s="150"/>
      <c r="BG42" s="150"/>
      <c r="BH42" s="232" t="s">
        <v>7</v>
      </c>
      <c r="BI42" s="237">
        <f>BI21</f>
        <v>17</v>
      </c>
      <c r="BJ42" s="237">
        <f>BJ21</f>
        <v>17</v>
      </c>
      <c r="BK42" s="234">
        <f>BK21</f>
        <v>1</v>
      </c>
      <c r="BL42" s="235">
        <v>0.8</v>
      </c>
      <c r="BM42" s="238"/>
      <c r="BN42" s="238"/>
      <c r="BO42" s="239"/>
      <c r="BP42" s="238"/>
      <c r="BQ42" s="240"/>
    </row>
    <row r="43" spans="1:147" ht="15" x14ac:dyDescent="0.25">
      <c r="E43" s="232" t="s">
        <v>25</v>
      </c>
      <c r="F43" s="233">
        <f>F29</f>
        <v>12</v>
      </c>
      <c r="G43" s="233">
        <f>G29</f>
        <v>19</v>
      </c>
      <c r="H43" s="234">
        <f>H29</f>
        <v>0.63157894736842102</v>
      </c>
      <c r="I43" s="235">
        <v>0.9</v>
      </c>
      <c r="J43" s="150"/>
      <c r="K43" s="232" t="s">
        <v>25</v>
      </c>
      <c r="L43" s="233">
        <f>L29</f>
        <v>4792</v>
      </c>
      <c r="M43" s="233">
        <f>M29</f>
        <v>5619</v>
      </c>
      <c r="N43" s="234">
        <f>N29</f>
        <v>0.85282078661683569</v>
      </c>
      <c r="O43" s="235">
        <v>0.9</v>
      </c>
      <c r="P43" s="236"/>
      <c r="Q43" s="232" t="s">
        <v>25</v>
      </c>
      <c r="R43" s="233">
        <f>R29</f>
        <v>1324</v>
      </c>
      <c r="S43" s="233">
        <f>S29</f>
        <v>2381</v>
      </c>
      <c r="T43" s="234">
        <f>T29</f>
        <v>0.5560688786224276</v>
      </c>
      <c r="U43" s="235">
        <v>0.35</v>
      </c>
      <c r="V43" s="150"/>
      <c r="W43" s="232" t="s">
        <v>25</v>
      </c>
      <c r="X43" s="233">
        <f>X29</f>
        <v>81</v>
      </c>
      <c r="Y43" s="233">
        <f>Y29</f>
        <v>316.25</v>
      </c>
      <c r="Z43" s="234">
        <f>Z29</f>
        <v>0.25612648221343876</v>
      </c>
      <c r="AA43" s="235">
        <v>0.11</v>
      </c>
      <c r="AB43"/>
      <c r="AC43" s="150"/>
      <c r="AD43" s="232" t="s">
        <v>25</v>
      </c>
      <c r="AE43" s="233">
        <f>AE29</f>
        <v>1315</v>
      </c>
      <c r="AF43" s="233">
        <f>AF29</f>
        <v>4085</v>
      </c>
      <c r="AG43" s="234">
        <f>AG29</f>
        <v>0.32190942472460221</v>
      </c>
      <c r="AH43" s="235">
        <v>0.28000000000000003</v>
      </c>
      <c r="AI43" s="150"/>
      <c r="AJ43" s="232" t="s">
        <v>25</v>
      </c>
      <c r="AK43" s="233">
        <f>AK29</f>
        <v>3038</v>
      </c>
      <c r="AL43" s="233">
        <f>AL29</f>
        <v>3503</v>
      </c>
      <c r="AM43" s="234">
        <f>AM29</f>
        <v>0.86725663716814161</v>
      </c>
      <c r="AN43" s="235">
        <v>0.9</v>
      </c>
      <c r="AO43" s="150"/>
      <c r="AP43" s="232" t="s">
        <v>25</v>
      </c>
      <c r="AQ43" s="233">
        <f>AQ29</f>
        <v>4558</v>
      </c>
      <c r="AR43" s="233">
        <f>AR29</f>
        <v>9409</v>
      </c>
      <c r="AS43" s="234">
        <f>AS29</f>
        <v>0.48442980125411839</v>
      </c>
      <c r="AT43" s="235">
        <v>0.43</v>
      </c>
      <c r="AU43" s="150"/>
      <c r="AV43" s="232" t="s">
        <v>25</v>
      </c>
      <c r="AW43" s="233">
        <f>AW29</f>
        <v>90</v>
      </c>
      <c r="AX43" s="233">
        <f>AX29</f>
        <v>134</v>
      </c>
      <c r="AY43" s="234">
        <f>AY29</f>
        <v>0.67164179104477617</v>
      </c>
      <c r="AZ43" s="235">
        <v>0.6</v>
      </c>
      <c r="BA43" s="150"/>
      <c r="BB43" s="150"/>
      <c r="BC43" s="150"/>
      <c r="BD43" s="150"/>
      <c r="BE43" s="150"/>
      <c r="BF43" s="150"/>
      <c r="BG43" s="150"/>
      <c r="BH43" s="232" t="s">
        <v>25</v>
      </c>
      <c r="BI43" s="237">
        <f>BI29</f>
        <v>7</v>
      </c>
      <c r="BJ43" s="237">
        <f>BJ29</f>
        <v>7</v>
      </c>
      <c r="BK43" s="234">
        <f>BK29</f>
        <v>1</v>
      </c>
      <c r="BL43" s="235">
        <v>0.8</v>
      </c>
      <c r="BM43" s="238"/>
      <c r="BN43" s="238"/>
      <c r="BO43" s="239"/>
      <c r="BP43" s="238"/>
      <c r="BQ43" s="240"/>
    </row>
    <row r="44" spans="1:147" ht="15" x14ac:dyDescent="0.25">
      <c r="E44" s="232" t="s">
        <v>33</v>
      </c>
      <c r="F44" s="233">
        <f t="shared" ref="E44:H45" si="88">F37</f>
        <v>71</v>
      </c>
      <c r="G44" s="233">
        <f t="shared" si="88"/>
        <v>80</v>
      </c>
      <c r="H44" s="234">
        <f t="shared" si="88"/>
        <v>0.88749999999999996</v>
      </c>
      <c r="I44" s="235">
        <v>0.9</v>
      </c>
      <c r="J44" s="150"/>
      <c r="K44" s="232" t="s">
        <v>33</v>
      </c>
      <c r="L44" s="233">
        <f t="shared" ref="L44:N45" si="89">L37</f>
        <v>19707</v>
      </c>
      <c r="M44" s="233">
        <f t="shared" si="89"/>
        <v>20408</v>
      </c>
      <c r="N44" s="234">
        <f t="shared" si="89"/>
        <v>0.96565072520580164</v>
      </c>
      <c r="O44" s="235">
        <v>0.9</v>
      </c>
      <c r="P44" s="236"/>
      <c r="Q44" s="232" t="s">
        <v>33</v>
      </c>
      <c r="R44" s="233">
        <f t="shared" ref="R44:T45" si="90">R37</f>
        <v>4949</v>
      </c>
      <c r="S44" s="233">
        <f t="shared" si="90"/>
        <v>9918</v>
      </c>
      <c r="T44" s="234">
        <f t="shared" si="90"/>
        <v>0.49899173220407339</v>
      </c>
      <c r="U44" s="235">
        <v>0.35</v>
      </c>
      <c r="V44" s="150"/>
      <c r="W44" s="232" t="s">
        <v>33</v>
      </c>
      <c r="X44" s="233">
        <f t="shared" ref="X44:Z45" si="91">X37</f>
        <v>191</v>
      </c>
      <c r="Y44" s="233">
        <f t="shared" si="91"/>
        <v>1344.25</v>
      </c>
      <c r="Z44" s="234">
        <f t="shared" si="91"/>
        <v>0.14208666542681792</v>
      </c>
      <c r="AA44" s="235">
        <v>0.11</v>
      </c>
      <c r="AB44"/>
      <c r="AC44" s="150"/>
      <c r="AD44" s="232" t="s">
        <v>33</v>
      </c>
      <c r="AE44" s="233">
        <f t="shared" ref="AE44:AG45" si="92">AE37</f>
        <v>3706</v>
      </c>
      <c r="AF44" s="233">
        <f t="shared" si="92"/>
        <v>12454</v>
      </c>
      <c r="AG44" s="234">
        <f t="shared" si="92"/>
        <v>0.297575076280713</v>
      </c>
      <c r="AH44" s="235">
        <v>0.28000000000000003</v>
      </c>
      <c r="AI44" s="150"/>
      <c r="AJ44" s="232" t="s">
        <v>33</v>
      </c>
      <c r="AK44" s="233">
        <f t="shared" ref="AK44:AM45" si="93">AK37</f>
        <v>7916</v>
      </c>
      <c r="AL44" s="233">
        <f t="shared" si="93"/>
        <v>9168</v>
      </c>
      <c r="AM44" s="234">
        <f t="shared" si="93"/>
        <v>0.86343804537521818</v>
      </c>
      <c r="AN44" s="235">
        <v>0.9</v>
      </c>
      <c r="AO44" s="150"/>
      <c r="AP44" s="232" t="s">
        <v>33</v>
      </c>
      <c r="AQ44" s="233">
        <f t="shared" ref="AQ44:AS45" si="94">AQ37</f>
        <v>10635</v>
      </c>
      <c r="AR44" s="233">
        <f t="shared" si="94"/>
        <v>28373</v>
      </c>
      <c r="AS44" s="234">
        <f t="shared" si="94"/>
        <v>0.37482818172205973</v>
      </c>
      <c r="AT44" s="235">
        <v>0.43</v>
      </c>
      <c r="AU44" s="150"/>
      <c r="AV44" s="232" t="s">
        <v>33</v>
      </c>
      <c r="AW44" s="233">
        <f>AW37</f>
        <v>386</v>
      </c>
      <c r="AX44" s="233">
        <f>AX37</f>
        <v>718</v>
      </c>
      <c r="AY44" s="234">
        <f>AY37</f>
        <v>0.53760445682451252</v>
      </c>
      <c r="AZ44" s="235">
        <v>0.6</v>
      </c>
      <c r="BA44" s="150"/>
      <c r="BB44" s="150"/>
      <c r="BC44" s="150"/>
      <c r="BD44" s="150"/>
      <c r="BE44" s="150"/>
      <c r="BF44" s="150"/>
      <c r="BG44" s="150"/>
      <c r="BH44" s="232" t="s">
        <v>33</v>
      </c>
      <c r="BI44" s="237">
        <f>BI37</f>
        <v>7</v>
      </c>
      <c r="BJ44" s="237">
        <f>BJ37</f>
        <v>7</v>
      </c>
      <c r="BK44" s="234">
        <f>BK37</f>
        <v>1</v>
      </c>
      <c r="BL44" s="235">
        <v>0.8</v>
      </c>
      <c r="BM44" s="238"/>
      <c r="BN44" s="238"/>
      <c r="BO44" s="239"/>
      <c r="BP44" s="238"/>
      <c r="BQ44" s="240"/>
    </row>
    <row r="45" spans="1:147" ht="15" x14ac:dyDescent="0.25">
      <c r="E45" s="232" t="str">
        <f t="shared" si="88"/>
        <v>Total</v>
      </c>
      <c r="F45" s="233">
        <f t="shared" si="88"/>
        <v>194</v>
      </c>
      <c r="G45" s="233">
        <f t="shared" si="88"/>
        <v>241</v>
      </c>
      <c r="H45" s="234">
        <f t="shared" si="88"/>
        <v>0.80497925311203322</v>
      </c>
      <c r="I45" s="235">
        <v>0.9</v>
      </c>
      <c r="J45" s="150"/>
      <c r="K45" s="232" t="str">
        <f>K38</f>
        <v>Total</v>
      </c>
      <c r="L45" s="233">
        <f t="shared" si="89"/>
        <v>59458</v>
      </c>
      <c r="M45" s="233">
        <f t="shared" si="89"/>
        <v>66997</v>
      </c>
      <c r="N45" s="234">
        <f t="shared" si="89"/>
        <v>0.88747257339880892</v>
      </c>
      <c r="O45" s="235">
        <v>0.9</v>
      </c>
      <c r="P45" s="236"/>
      <c r="Q45" s="232" t="str">
        <f>Q38</f>
        <v>Total</v>
      </c>
      <c r="R45" s="233">
        <f t="shared" si="90"/>
        <v>16884</v>
      </c>
      <c r="S45" s="233">
        <f t="shared" si="90"/>
        <v>36917</v>
      </c>
      <c r="T45" s="234">
        <f t="shared" si="90"/>
        <v>0.4573502722323049</v>
      </c>
      <c r="U45" s="235">
        <v>0.35</v>
      </c>
      <c r="V45" s="150"/>
      <c r="W45" s="232" t="str">
        <f>W38</f>
        <v>Total</v>
      </c>
      <c r="X45" s="233">
        <f t="shared" si="91"/>
        <v>815</v>
      </c>
      <c r="Y45" s="233">
        <f t="shared" si="91"/>
        <v>4564.75</v>
      </c>
      <c r="Z45" s="234">
        <f t="shared" si="91"/>
        <v>0.17854208883290432</v>
      </c>
      <c r="AA45" s="235">
        <v>0.11</v>
      </c>
      <c r="AB45"/>
      <c r="AC45" s="150"/>
      <c r="AD45" s="232" t="str">
        <f>AD38</f>
        <v>Total</v>
      </c>
      <c r="AE45" s="233">
        <f t="shared" si="92"/>
        <v>11927</v>
      </c>
      <c r="AF45" s="233">
        <f t="shared" si="92"/>
        <v>42453</v>
      </c>
      <c r="AG45" s="234">
        <f t="shared" si="92"/>
        <v>0.28094598732716181</v>
      </c>
      <c r="AH45" s="235">
        <v>0.28000000000000003</v>
      </c>
      <c r="AI45" s="150"/>
      <c r="AJ45" s="232" t="str">
        <f>AJ38</f>
        <v>Total</v>
      </c>
      <c r="AK45" s="233">
        <f t="shared" si="93"/>
        <v>24519</v>
      </c>
      <c r="AL45" s="233">
        <f t="shared" si="93"/>
        <v>31022</v>
      </c>
      <c r="AM45" s="234">
        <f t="shared" si="93"/>
        <v>0.7903745728837599</v>
      </c>
      <c r="AN45" s="235">
        <v>0.9</v>
      </c>
      <c r="AO45" s="150"/>
      <c r="AP45" s="232" t="str">
        <f>AP38</f>
        <v>Total</v>
      </c>
      <c r="AQ45" s="233">
        <f t="shared" si="94"/>
        <v>37465</v>
      </c>
      <c r="AR45" s="233">
        <f t="shared" si="94"/>
        <v>96491</v>
      </c>
      <c r="AS45" s="234">
        <f t="shared" si="94"/>
        <v>0.38827455410349154</v>
      </c>
      <c r="AT45" s="235">
        <v>0.43</v>
      </c>
      <c r="AU45" s="150"/>
      <c r="AV45" s="232" t="str">
        <f t="shared" ref="AV45:AY45" si="95">AV38</f>
        <v>Total</v>
      </c>
      <c r="AW45" s="233">
        <f t="shared" si="95"/>
        <v>1473</v>
      </c>
      <c r="AX45" s="233">
        <f t="shared" si="95"/>
        <v>2491</v>
      </c>
      <c r="AY45" s="234">
        <f t="shared" si="95"/>
        <v>0.59132878362103569</v>
      </c>
      <c r="AZ45" s="235">
        <v>0.6</v>
      </c>
      <c r="BA45" s="150"/>
      <c r="BB45" s="150"/>
      <c r="BC45" s="150"/>
      <c r="BD45" s="150"/>
      <c r="BE45" s="150"/>
      <c r="BF45" s="150"/>
      <c r="BG45" s="150"/>
      <c r="BH45" s="241" t="str">
        <f>BH38</f>
        <v>Total</v>
      </c>
      <c r="BI45" s="237">
        <f t="shared" ref="BI45:BK45" si="96">BI38</f>
        <v>31</v>
      </c>
      <c r="BJ45" s="237">
        <f t="shared" si="96"/>
        <v>31</v>
      </c>
      <c r="BK45" s="234">
        <f t="shared" si="96"/>
        <v>1</v>
      </c>
      <c r="BL45" s="235">
        <v>0.8</v>
      </c>
      <c r="BM45" s="238"/>
      <c r="BN45" s="238"/>
      <c r="BO45" s="239"/>
      <c r="BP45" s="238"/>
      <c r="BQ45" s="240"/>
    </row>
    <row r="46" spans="1:147" ht="15" x14ac:dyDescent="0.25">
      <c r="E46" s="242"/>
      <c r="H46" s="243"/>
      <c r="I46" s="240"/>
      <c r="J46" s="150"/>
      <c r="K46" s="242"/>
      <c r="M46" s="244"/>
      <c r="N46" s="243"/>
      <c r="O46" s="240"/>
      <c r="P46" s="236"/>
      <c r="Q46" s="242"/>
      <c r="T46" s="243"/>
      <c r="U46" s="240"/>
      <c r="V46" s="150"/>
      <c r="W46" s="242"/>
      <c r="Z46" s="243"/>
      <c r="AA46" s="240"/>
      <c r="AB46"/>
      <c r="AC46" s="150"/>
      <c r="AD46" s="242"/>
      <c r="AG46" s="243"/>
      <c r="AH46" s="240"/>
      <c r="AI46" s="150"/>
      <c r="AJ46" s="242"/>
      <c r="AM46" s="243"/>
      <c r="AN46" s="240"/>
      <c r="AO46" s="150"/>
      <c r="AP46" s="242"/>
      <c r="AR46" s="244"/>
      <c r="AS46" s="243"/>
      <c r="AT46" s="240"/>
      <c r="AU46" s="150"/>
      <c r="AV46" s="242"/>
      <c r="AY46" s="243"/>
      <c r="AZ46" s="240"/>
      <c r="BA46" s="150"/>
      <c r="BB46" s="150"/>
      <c r="BC46" s="150"/>
      <c r="BD46" s="150"/>
      <c r="BE46" s="150"/>
      <c r="BF46" s="150"/>
      <c r="BG46" s="150"/>
      <c r="BH46" s="242"/>
      <c r="BI46" s="242"/>
      <c r="BJ46" s="238"/>
      <c r="BL46" s="238"/>
      <c r="BM46" s="238"/>
      <c r="BN46" s="239"/>
      <c r="BO46" s="238"/>
      <c r="BP46" s="240"/>
    </row>
    <row r="47" spans="1:147" ht="15" x14ac:dyDescent="0.25">
      <c r="AZ47"/>
      <c r="BA47" s="150"/>
      <c r="BB47" s="150"/>
      <c r="BC47" s="150"/>
      <c r="BD47" s="150"/>
      <c r="BE47" s="150"/>
      <c r="BF47" s="150"/>
      <c r="BG47" s="150"/>
      <c r="BH47"/>
      <c r="BI47"/>
    </row>
  </sheetData>
  <mergeCells count="30">
    <mergeCell ref="CN2:EQ2"/>
    <mergeCell ref="F2:I2"/>
    <mergeCell ref="L2:O2"/>
    <mergeCell ref="R2:U2"/>
    <mergeCell ref="X2:AA2"/>
    <mergeCell ref="AB2:AB3"/>
    <mergeCell ref="AE2:AH2"/>
    <mergeCell ref="AK2:AN2"/>
    <mergeCell ref="AQ2:AT2"/>
    <mergeCell ref="AW2:AZ2"/>
    <mergeCell ref="BC2:BF2"/>
    <mergeCell ref="BI2:BL2"/>
    <mergeCell ref="DY3:ED3"/>
    <mergeCell ref="EE3:EJ3"/>
    <mergeCell ref="EK3:EP3"/>
    <mergeCell ref="DF3:DL3"/>
    <mergeCell ref="DM3:DR3"/>
    <mergeCell ref="DS3:DX3"/>
    <mergeCell ref="E40:I40"/>
    <mergeCell ref="K40:O40"/>
    <mergeCell ref="Q40:U40"/>
    <mergeCell ref="W40:AA40"/>
    <mergeCell ref="AD40:AH40"/>
    <mergeCell ref="AJ40:AN40"/>
    <mergeCell ref="AP40:AT40"/>
    <mergeCell ref="CN3:CS3"/>
    <mergeCell ref="CT3:CY3"/>
    <mergeCell ref="CZ3:DE3"/>
    <mergeCell ref="AV40:AZ40"/>
    <mergeCell ref="BH40:BL40"/>
  </mergeCells>
  <conditionalFormatting sqref="BP4">
    <cfRule type="containsText" dxfId="23" priority="10" operator="containsText" text="Tramo 3: Sin Asig. C. Variable">
      <formula>NOT(ISERROR(SEARCH("Tramo 3: Sin Asig. C. Variable",BP4)))</formula>
    </cfRule>
    <cfRule type="containsText" dxfId="22" priority="11" operator="containsText" text="Tramo 2: 50% C. Variable">
      <formula>NOT(ISERROR(SEARCH("Tramo 2: 50% C. Variable",BP4)))</formula>
    </cfRule>
    <cfRule type="containsText" dxfId="21" priority="12" operator="containsText" text="Tramo 1: 100% C. Variable">
      <formula>NOT(ISERROR(SEARCH("Tramo 1: 100% C. Variable",BP4)))</formula>
    </cfRule>
  </conditionalFormatting>
  <conditionalFormatting sqref="BP5:BP20">
    <cfRule type="containsText" dxfId="20" priority="7" operator="containsText" text="Tramo 3: Sin Asig. C. Variable">
      <formula>NOT(ISERROR(SEARCH("Tramo 3: Sin Asig. C. Variable",BP5)))</formula>
    </cfRule>
    <cfRule type="containsText" dxfId="19" priority="8" operator="containsText" text="Tramo 2: 50% C. Variable">
      <formula>NOT(ISERROR(SEARCH("Tramo 2: 50% C. Variable",BP5)))</formula>
    </cfRule>
    <cfRule type="containsText" dxfId="18" priority="9" operator="containsText" text="Tramo 1: 100% C. Variable">
      <formula>NOT(ISERROR(SEARCH("Tramo 1: 100% C. Variable",BP5)))</formula>
    </cfRule>
  </conditionalFormatting>
  <conditionalFormatting sqref="BP22:BP28">
    <cfRule type="containsText" dxfId="17" priority="4" operator="containsText" text="Tramo 3: Sin Asig. C. Variable">
      <formula>NOT(ISERROR(SEARCH("Tramo 3: Sin Asig. C. Variable",BP22)))</formula>
    </cfRule>
    <cfRule type="containsText" dxfId="16" priority="5" operator="containsText" text="Tramo 2: 50% C. Variable">
      <formula>NOT(ISERROR(SEARCH("Tramo 2: 50% C. Variable",BP22)))</formula>
    </cfRule>
    <cfRule type="containsText" dxfId="15" priority="6" operator="containsText" text="Tramo 1: 100% C. Variable">
      <formula>NOT(ISERROR(SEARCH("Tramo 1: 100% C. Variable",BP22)))</formula>
    </cfRule>
  </conditionalFormatting>
  <conditionalFormatting sqref="BP30:BP36">
    <cfRule type="containsText" dxfId="14" priority="1" operator="containsText" text="Tramo 3: Sin Asig. C. Variable">
      <formula>NOT(ISERROR(SEARCH("Tramo 3: Sin Asig. C. Variable",BP30)))</formula>
    </cfRule>
    <cfRule type="containsText" dxfId="13" priority="2" operator="containsText" text="Tramo 2: 50% C. Variable">
      <formula>NOT(ISERROR(SEARCH("Tramo 2: 50% C. Variable",BP30)))</formula>
    </cfRule>
    <cfRule type="containsText" dxfId="12" priority="3" operator="containsText" text="Tramo 1: 100% C. Variable">
      <formula>NOT(ISERROR(SEARCH("Tramo 1: 100% C. Variable",BP30)))</formula>
    </cfRule>
  </conditionalFormatting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7BD48-9D9C-4BC4-BBFA-7A7751B068F5}">
  <dimension ref="A1:CT47"/>
  <sheetViews>
    <sheetView showGridLines="0" zoomScale="90" zoomScaleNormal="90" workbookViewId="0">
      <selection activeCell="CV9" sqref="CV9"/>
    </sheetView>
  </sheetViews>
  <sheetFormatPr baseColWidth="10" defaultColWidth="11.42578125" defaultRowHeight="15" outlineLevelRow="2" outlineLevelCol="1" x14ac:dyDescent="0.25"/>
  <cols>
    <col min="1" max="1" width="1.7109375" style="312" customWidth="1"/>
    <col min="2" max="2" width="29.5703125" customWidth="1"/>
    <col min="3" max="3" width="19.7109375" customWidth="1"/>
    <col min="4" max="4" width="19.7109375" style="258" customWidth="1"/>
    <col min="5" max="5" width="28.5703125" style="258" customWidth="1"/>
    <col min="6" max="6" width="42.85546875" style="258" customWidth="1"/>
    <col min="7" max="7" width="12.42578125" style="258" customWidth="1"/>
    <col min="8" max="8" width="12.42578125" style="258" hidden="1" customWidth="1"/>
    <col min="9" max="9" width="1.42578125" style="258" customWidth="1"/>
    <col min="10" max="10" width="12.28515625" style="257" hidden="1" customWidth="1"/>
    <col min="11" max="11" width="13.42578125" style="257" hidden="1" customWidth="1"/>
    <col min="12" max="12" width="12.7109375" style="257" hidden="1" customWidth="1"/>
    <col min="13" max="13" width="14.85546875" style="257" hidden="1" customWidth="1"/>
    <col min="14" max="14" width="14" style="257" hidden="1" customWidth="1"/>
    <col min="15" max="15" width="13.28515625" style="257" hidden="1" customWidth="1"/>
    <col min="16" max="16" width="1.7109375" style="258" hidden="1" customWidth="1"/>
    <col min="17" max="17" width="14.85546875" hidden="1" customWidth="1"/>
    <col min="18" max="18" width="22.5703125" style="257" hidden="1" customWidth="1"/>
    <col min="19" max="19" width="3.85546875" hidden="1" customWidth="1" outlineLevel="1"/>
    <col min="20" max="20" width="4.85546875" hidden="1" customWidth="1" outlineLevel="1"/>
    <col min="21" max="40" width="11.42578125" hidden="1" customWidth="1" outlineLevel="1"/>
    <col min="41" max="41" width="11.42578125" hidden="1" customWidth="1" collapsed="1"/>
    <col min="42" max="97" width="11.42578125" hidden="1" customWidth="1" outlineLevel="1"/>
    <col min="98" max="98" width="11.42578125" collapsed="1"/>
  </cols>
  <sheetData>
    <row r="1" spans="1:98" s="257" customFormat="1" ht="9.75" customHeight="1" x14ac:dyDescent="0.25">
      <c r="A1" s="256"/>
      <c r="C1" s="257">
        <v>1</v>
      </c>
      <c r="D1" s="258"/>
      <c r="E1" s="258"/>
      <c r="F1" s="258"/>
      <c r="G1" s="258"/>
      <c r="H1" s="258"/>
      <c r="I1" s="258"/>
      <c r="J1" s="257">
        <v>48</v>
      </c>
      <c r="L1" s="257">
        <v>49</v>
      </c>
      <c r="M1" s="257">
        <v>50</v>
      </c>
      <c r="N1" s="257">
        <v>51</v>
      </c>
      <c r="O1" s="257">
        <v>52</v>
      </c>
      <c r="P1" s="258"/>
      <c r="Q1" s="257">
        <v>53</v>
      </c>
      <c r="R1" s="257">
        <v>54</v>
      </c>
      <c r="S1" s="259" t="s">
        <v>265</v>
      </c>
    </row>
    <row r="2" spans="1:98" s="133" customFormat="1" ht="30.75" customHeight="1" x14ac:dyDescent="0.25">
      <c r="A2" s="260"/>
      <c r="B2" s="261" t="s">
        <v>266</v>
      </c>
      <c r="C2" s="262">
        <v>12.5</v>
      </c>
      <c r="D2" s="105" t="s">
        <v>401</v>
      </c>
      <c r="E2" s="791" t="s">
        <v>282</v>
      </c>
      <c r="F2" s="792"/>
      <c r="G2" s="792"/>
      <c r="H2" s="793"/>
      <c r="I2" s="150"/>
      <c r="J2" s="105" t="s">
        <v>130</v>
      </c>
      <c r="K2" s="791" t="s">
        <v>76</v>
      </c>
      <c r="L2" s="792"/>
      <c r="M2" s="792"/>
      <c r="N2" s="793"/>
      <c r="O2"/>
      <c r="P2" s="150"/>
      <c r="Q2" s="263"/>
      <c r="R2" s="263"/>
      <c r="AP2" s="790" t="s">
        <v>283</v>
      </c>
      <c r="AQ2" s="790"/>
      <c r="AR2" s="790"/>
      <c r="AS2" s="790"/>
      <c r="AT2" s="790"/>
      <c r="AU2" s="790"/>
      <c r="AV2" s="790"/>
      <c r="AW2" s="790"/>
      <c r="AX2" s="790"/>
      <c r="AY2" s="790"/>
      <c r="AZ2" s="790"/>
      <c r="BA2" s="790"/>
      <c r="BB2" s="790"/>
      <c r="BC2" s="790"/>
      <c r="BD2" s="790"/>
      <c r="BE2" s="790"/>
      <c r="BF2" s="790"/>
      <c r="BG2" s="790"/>
      <c r="BH2" s="790"/>
      <c r="BI2" s="790"/>
      <c r="BJ2" s="790"/>
      <c r="BK2" s="790"/>
      <c r="BL2" s="790"/>
      <c r="BM2" s="790"/>
      <c r="BN2" s="790"/>
      <c r="BO2" s="790"/>
      <c r="BP2" s="790"/>
      <c r="BQ2" s="790"/>
      <c r="BR2" s="790"/>
      <c r="BS2" s="790"/>
      <c r="BT2" s="790"/>
      <c r="BU2" s="790"/>
      <c r="BV2" s="790"/>
      <c r="BW2" s="790"/>
      <c r="BX2" s="790"/>
      <c r="BY2" s="790"/>
      <c r="BZ2" s="790"/>
      <c r="CA2" s="790"/>
      <c r="CB2" s="790"/>
      <c r="CC2" s="790"/>
      <c r="CD2" s="790"/>
      <c r="CE2" s="790"/>
      <c r="CF2" s="790"/>
      <c r="CG2" s="790"/>
      <c r="CH2" s="790"/>
      <c r="CI2" s="790"/>
      <c r="CJ2" s="790"/>
      <c r="CK2" s="790"/>
      <c r="CL2" s="790"/>
      <c r="CM2" s="790"/>
      <c r="CN2" s="790"/>
      <c r="CO2" s="790"/>
      <c r="CP2" s="790"/>
      <c r="CQ2" s="790"/>
      <c r="CR2" s="790"/>
      <c r="CS2" s="790"/>
    </row>
    <row r="3" spans="1:98" s="5" customFormat="1" ht="39.200000000000003" customHeight="1" x14ac:dyDescent="0.25">
      <c r="A3" s="264"/>
      <c r="B3" s="265" t="s">
        <v>107</v>
      </c>
      <c r="C3" s="265" t="s">
        <v>108</v>
      </c>
      <c r="D3" s="105" t="s">
        <v>129</v>
      </c>
      <c r="E3" s="254" t="s">
        <v>357</v>
      </c>
      <c r="F3" s="254" t="s">
        <v>358</v>
      </c>
      <c r="G3" s="105" t="s">
        <v>257</v>
      </c>
      <c r="H3" s="266" t="s">
        <v>302</v>
      </c>
      <c r="I3" s="267"/>
      <c r="J3" s="105" t="s">
        <v>311</v>
      </c>
      <c r="K3" s="254" t="s">
        <v>359</v>
      </c>
      <c r="L3" s="254" t="s">
        <v>360</v>
      </c>
      <c r="M3" s="105" t="s">
        <v>257</v>
      </c>
      <c r="N3" s="266" t="s">
        <v>302</v>
      </c>
      <c r="O3" s="106" t="s">
        <v>314</v>
      </c>
      <c r="P3" s="268"/>
      <c r="Q3" s="166" t="s">
        <v>315</v>
      </c>
      <c r="R3" s="262" t="s">
        <v>316</v>
      </c>
      <c r="S3" s="269" t="s">
        <v>317</v>
      </c>
      <c r="AP3" s="794" t="s">
        <v>318</v>
      </c>
      <c r="AQ3" s="794"/>
      <c r="AR3" s="794"/>
      <c r="AS3" s="794"/>
      <c r="AT3" s="794"/>
      <c r="AU3" s="794"/>
      <c r="AV3" s="795" t="s">
        <v>319</v>
      </c>
      <c r="AW3" s="795"/>
      <c r="AX3" s="795"/>
      <c r="AY3" s="795"/>
      <c r="AZ3" s="795"/>
      <c r="BA3" s="795"/>
      <c r="BB3" s="794" t="s">
        <v>320</v>
      </c>
      <c r="BC3" s="794"/>
      <c r="BD3" s="794"/>
      <c r="BE3" s="794"/>
      <c r="BF3" s="794"/>
      <c r="BG3" s="794"/>
      <c r="BH3" s="795" t="s">
        <v>321</v>
      </c>
      <c r="BI3" s="795"/>
      <c r="BJ3" s="795"/>
      <c r="BK3" s="795"/>
      <c r="BL3" s="795"/>
      <c r="BM3" s="795"/>
      <c r="BN3" s="795"/>
      <c r="BO3" s="794" t="s">
        <v>322</v>
      </c>
      <c r="BP3" s="794"/>
      <c r="BQ3" s="794"/>
      <c r="BR3" s="794"/>
      <c r="BS3" s="794"/>
      <c r="BT3" s="794"/>
      <c r="BU3" s="795" t="s">
        <v>323</v>
      </c>
      <c r="BV3" s="795"/>
      <c r="BW3" s="795"/>
      <c r="BX3" s="795"/>
      <c r="BY3" s="795"/>
      <c r="BZ3" s="795"/>
      <c r="CA3" s="794" t="s">
        <v>324</v>
      </c>
      <c r="CB3" s="794"/>
      <c r="CC3" s="794"/>
      <c r="CD3" s="794"/>
      <c r="CE3" s="794"/>
      <c r="CF3" s="794"/>
      <c r="CG3" s="795" t="s">
        <v>325</v>
      </c>
      <c r="CH3" s="795"/>
      <c r="CI3" s="795"/>
      <c r="CJ3" s="795"/>
      <c r="CK3" s="795"/>
      <c r="CL3" s="795"/>
      <c r="CM3" s="794" t="s">
        <v>326</v>
      </c>
      <c r="CN3" s="794"/>
      <c r="CO3" s="794"/>
      <c r="CP3" s="794"/>
      <c r="CQ3" s="794"/>
      <c r="CR3" s="794"/>
    </row>
    <row r="4" spans="1:98" outlineLevel="2" x14ac:dyDescent="0.25">
      <c r="A4" s="270" t="s">
        <v>211</v>
      </c>
      <c r="B4" s="271" t="s">
        <v>6</v>
      </c>
      <c r="C4" s="271" t="s">
        <v>7</v>
      </c>
      <c r="D4" s="406" t="s">
        <v>129</v>
      </c>
      <c r="E4" s="407">
        <v>579</v>
      </c>
      <c r="F4" s="407">
        <v>6340</v>
      </c>
      <c r="G4" s="272">
        <f>IF(F4=0,100%,E4/F4)</f>
        <v>9.1324921135646692E-2</v>
      </c>
      <c r="H4" s="278">
        <v>6.25E-2</v>
      </c>
      <c r="I4" s="276"/>
      <c r="J4" s="277">
        <v>0.8</v>
      </c>
      <c r="K4" s="273">
        <v>1</v>
      </c>
      <c r="L4" s="273">
        <v>1</v>
      </c>
      <c r="M4" s="274">
        <f t="shared" ref="M4:M20" si="0">IF(J4="aut",100%,IF(L4=0,100%,K4/L4))</f>
        <v>1</v>
      </c>
      <c r="N4" s="275">
        <f>IF(J4="aut",$C$2,IF(M4&gt;=J4,$C$2,0%))</f>
        <v>12.5</v>
      </c>
      <c r="O4" s="279"/>
      <c r="P4" s="280"/>
      <c r="Q4" s="281" t="e">
        <f>+N4+#REF!+#REF!+#REF!+#REF!+#REF!+#REF!+#REF!</f>
        <v>#REF!</v>
      </c>
      <c r="R4" s="282" t="e">
        <f t="shared" ref="R4:R20" si="1">IF(Q4&gt;=90,"Tramo 1: 100% C. Variable",IF(AND(Q4&gt;=75,Q4&lt;90),"Tramo 2: 50% C. Variable",IF(Q4&lt;75,"Tramo 3: Sin Asig. C. Variable")))</f>
        <v>#REF!</v>
      </c>
      <c r="S4" s="283">
        <v>90</v>
      </c>
      <c r="AP4" s="271" t="s">
        <v>6</v>
      </c>
      <c r="AQ4" s="284" t="e">
        <f>#REF!</f>
        <v>#REF!</v>
      </c>
      <c r="AR4" s="271" t="e">
        <f>#REF!</f>
        <v>#REF!</v>
      </c>
      <c r="AS4" s="271" t="e">
        <f>#REF!</f>
        <v>#REF!</v>
      </c>
      <c r="AT4" s="284" t="e">
        <f>#REF!</f>
        <v>#REF!</v>
      </c>
      <c r="AU4" s="285" t="e">
        <f>#REF!</f>
        <v>#REF!</v>
      </c>
      <c r="AV4" s="271" t="s">
        <v>6</v>
      </c>
      <c r="AW4" s="284" t="e">
        <f>#REF!</f>
        <v>#REF!</v>
      </c>
      <c r="AX4" s="286" t="e">
        <f>#REF!</f>
        <v>#REF!</v>
      </c>
      <c r="AY4" s="286" t="e">
        <f>#REF!</f>
        <v>#REF!</v>
      </c>
      <c r="AZ4" s="287" t="e">
        <f>#REF!</f>
        <v>#REF!</v>
      </c>
      <c r="BA4" s="288" t="e">
        <f>#REF!</f>
        <v>#REF!</v>
      </c>
      <c r="BB4" s="271" t="s">
        <v>6</v>
      </c>
      <c r="BC4" s="289" t="e">
        <f>#REF!</f>
        <v>#REF!</v>
      </c>
      <c r="BD4" s="286" t="e">
        <f>#REF!</f>
        <v>#REF!</v>
      </c>
      <c r="BE4" s="286" t="e">
        <f>#REF!</f>
        <v>#REF!</v>
      </c>
      <c r="BF4" s="287" t="e">
        <f>#REF!</f>
        <v>#REF!</v>
      </c>
      <c r="BG4" s="288" t="e">
        <f>#REF!</f>
        <v>#REF!</v>
      </c>
      <c r="BH4" s="271" t="s">
        <v>6</v>
      </c>
      <c r="BI4" s="289" t="e">
        <f>#REF!</f>
        <v>#REF!</v>
      </c>
      <c r="BJ4" s="286" t="e">
        <f>#REF!</f>
        <v>#REF!</v>
      </c>
      <c r="BK4" s="286" t="e">
        <f>#REF!</f>
        <v>#REF!</v>
      </c>
      <c r="BL4" s="287" t="e">
        <f>#REF!</f>
        <v>#REF!</v>
      </c>
      <c r="BM4" s="288" t="e">
        <f>#REF!</f>
        <v>#REF!</v>
      </c>
      <c r="BN4" s="288" t="e">
        <f>#REF!</f>
        <v>#REF!</v>
      </c>
      <c r="BO4" s="271" t="s">
        <v>6</v>
      </c>
      <c r="BP4" s="289" t="e">
        <f>#REF!</f>
        <v>#REF!</v>
      </c>
      <c r="BQ4" s="286" t="e">
        <f>#REF!</f>
        <v>#REF!</v>
      </c>
      <c r="BR4" s="286" t="e">
        <f>#REF!</f>
        <v>#REF!</v>
      </c>
      <c r="BS4" s="287" t="e">
        <f>#REF!</f>
        <v>#REF!</v>
      </c>
      <c r="BT4" s="290" t="e">
        <f>#REF!</f>
        <v>#REF!</v>
      </c>
      <c r="BU4" s="271" t="s">
        <v>6</v>
      </c>
      <c r="BV4" s="291" t="e">
        <f>#REF!</f>
        <v>#REF!</v>
      </c>
      <c r="BW4" s="286" t="e">
        <f>#REF!</f>
        <v>#REF!</v>
      </c>
      <c r="BX4" s="286" t="e">
        <f>#REF!</f>
        <v>#REF!</v>
      </c>
      <c r="BY4" s="284" t="e">
        <f>#REF!</f>
        <v>#REF!</v>
      </c>
      <c r="BZ4" s="285" t="e">
        <f>#REF!</f>
        <v>#REF!</v>
      </c>
      <c r="CA4" s="271" t="s">
        <v>6</v>
      </c>
      <c r="CB4" s="289" t="e">
        <f>#REF!</f>
        <v>#REF!</v>
      </c>
      <c r="CC4" s="286" t="e">
        <f>#REF!</f>
        <v>#REF!</v>
      </c>
      <c r="CD4" s="286" t="e">
        <f>#REF!</f>
        <v>#REF!</v>
      </c>
      <c r="CE4" s="284" t="e">
        <f>#REF!</f>
        <v>#REF!</v>
      </c>
      <c r="CF4" s="285" t="e">
        <f>#REF!</f>
        <v>#REF!</v>
      </c>
      <c r="CG4" s="271" t="s">
        <v>6</v>
      </c>
      <c r="CH4" s="289" t="e">
        <f>#REF!</f>
        <v>#REF!</v>
      </c>
      <c r="CI4" s="286" t="e">
        <f>#REF!</f>
        <v>#REF!</v>
      </c>
      <c r="CJ4" s="286" t="e">
        <f>#REF!</f>
        <v>#REF!</v>
      </c>
      <c r="CK4" s="287" t="e">
        <f>#REF!</f>
        <v>#REF!</v>
      </c>
      <c r="CL4" s="288" t="e">
        <f>#REF!</f>
        <v>#REF!</v>
      </c>
      <c r="CM4" s="271" t="s">
        <v>6</v>
      </c>
      <c r="CN4" s="289">
        <f>J4</f>
        <v>0.8</v>
      </c>
      <c r="CO4" s="286">
        <f>K4</f>
        <v>1</v>
      </c>
      <c r="CP4" s="286">
        <f t="shared" ref="CP4:CR9" si="2">L4</f>
        <v>1</v>
      </c>
      <c r="CQ4" s="287">
        <f t="shared" si="2"/>
        <v>1</v>
      </c>
      <c r="CR4" s="285">
        <f t="shared" si="2"/>
        <v>12.5</v>
      </c>
      <c r="CT4" s="405"/>
    </row>
    <row r="5" spans="1:98" outlineLevel="2" x14ac:dyDescent="0.25">
      <c r="A5" s="270" t="s">
        <v>212</v>
      </c>
      <c r="B5" s="271" t="s">
        <v>8</v>
      </c>
      <c r="C5" s="271" t="s">
        <v>7</v>
      </c>
      <c r="D5" s="406" t="s">
        <v>129</v>
      </c>
      <c r="E5" s="407">
        <v>405</v>
      </c>
      <c r="F5" s="407">
        <v>3302</v>
      </c>
      <c r="G5" s="272">
        <f t="shared" ref="G5:G20" si="3">IF(F5=0,100%,E5/F5)</f>
        <v>0.12265293761356753</v>
      </c>
      <c r="H5" s="278">
        <v>6.25E-2</v>
      </c>
      <c r="I5" s="276"/>
      <c r="J5" s="277">
        <v>0.8</v>
      </c>
      <c r="K5" s="273">
        <v>1</v>
      </c>
      <c r="L5" s="273">
        <v>1</v>
      </c>
      <c r="M5" s="274">
        <f t="shared" si="0"/>
        <v>1</v>
      </c>
      <c r="N5" s="275">
        <f t="shared" ref="N5:N36" si="4">IF(J5="aut",$C$2,IF(M5&gt;=J5,$C$2,0%))</f>
        <v>12.5</v>
      </c>
      <c r="O5" s="279"/>
      <c r="P5" s="280"/>
      <c r="Q5" s="281" t="e">
        <f>+N5+#REF!+#REF!+#REF!+#REF!+#REF!+#REF!+#REF!</f>
        <v>#REF!</v>
      </c>
      <c r="R5" s="282" t="e">
        <f t="shared" si="1"/>
        <v>#REF!</v>
      </c>
      <c r="S5" s="283">
        <v>90</v>
      </c>
      <c r="AP5" s="271" t="s">
        <v>8</v>
      </c>
      <c r="AQ5" s="284" t="e">
        <f>#REF!</f>
        <v>#REF!</v>
      </c>
      <c r="AR5" s="271" t="e">
        <f>#REF!</f>
        <v>#REF!</v>
      </c>
      <c r="AS5" s="271" t="e">
        <f>#REF!</f>
        <v>#REF!</v>
      </c>
      <c r="AT5" s="284" t="e">
        <f>#REF!</f>
        <v>#REF!</v>
      </c>
      <c r="AU5" s="285" t="e">
        <f>#REF!</f>
        <v>#REF!</v>
      </c>
      <c r="AV5" s="271" t="s">
        <v>8</v>
      </c>
      <c r="AW5" s="284" t="e">
        <f>#REF!</f>
        <v>#REF!</v>
      </c>
      <c r="AX5" s="286" t="e">
        <f>#REF!</f>
        <v>#REF!</v>
      </c>
      <c r="AY5" s="286" t="e">
        <f>#REF!</f>
        <v>#REF!</v>
      </c>
      <c r="AZ5" s="287" t="e">
        <f>#REF!</f>
        <v>#REF!</v>
      </c>
      <c r="BA5" s="288" t="e">
        <f>#REF!</f>
        <v>#REF!</v>
      </c>
      <c r="BB5" s="271" t="s">
        <v>8</v>
      </c>
      <c r="BC5" s="289" t="e">
        <f>#REF!</f>
        <v>#REF!</v>
      </c>
      <c r="BD5" s="286" t="e">
        <f>#REF!</f>
        <v>#REF!</v>
      </c>
      <c r="BE5" s="286" t="e">
        <f>#REF!</f>
        <v>#REF!</v>
      </c>
      <c r="BF5" s="287" t="e">
        <f>#REF!</f>
        <v>#REF!</v>
      </c>
      <c r="BG5" s="288" t="e">
        <f>#REF!</f>
        <v>#REF!</v>
      </c>
      <c r="BH5" s="271" t="s">
        <v>8</v>
      </c>
      <c r="BI5" s="289" t="e">
        <f>#REF!</f>
        <v>#REF!</v>
      </c>
      <c r="BJ5" s="286" t="e">
        <f>#REF!</f>
        <v>#REF!</v>
      </c>
      <c r="BK5" s="286" t="e">
        <f>#REF!</f>
        <v>#REF!</v>
      </c>
      <c r="BL5" s="287" t="e">
        <f>#REF!</f>
        <v>#REF!</v>
      </c>
      <c r="BM5" s="288" t="e">
        <f>#REF!</f>
        <v>#REF!</v>
      </c>
      <c r="BN5" s="288" t="e">
        <f>#REF!</f>
        <v>#REF!</v>
      </c>
      <c r="BO5" s="271" t="s">
        <v>8</v>
      </c>
      <c r="BP5" s="289" t="e">
        <f>#REF!</f>
        <v>#REF!</v>
      </c>
      <c r="BQ5" s="286" t="e">
        <f>#REF!</f>
        <v>#REF!</v>
      </c>
      <c r="BR5" s="286" t="e">
        <f>#REF!</f>
        <v>#REF!</v>
      </c>
      <c r="BS5" s="287" t="e">
        <f>#REF!</f>
        <v>#REF!</v>
      </c>
      <c r="BT5" s="290" t="e">
        <f>#REF!</f>
        <v>#REF!</v>
      </c>
      <c r="BU5" s="271" t="s">
        <v>8</v>
      </c>
      <c r="BV5" s="291" t="e">
        <f>#REF!</f>
        <v>#REF!</v>
      </c>
      <c r="BW5" s="286" t="e">
        <f>#REF!</f>
        <v>#REF!</v>
      </c>
      <c r="BX5" s="286" t="e">
        <f>#REF!</f>
        <v>#REF!</v>
      </c>
      <c r="BY5" s="284" t="e">
        <f>#REF!</f>
        <v>#REF!</v>
      </c>
      <c r="BZ5" s="285" t="e">
        <f>#REF!</f>
        <v>#REF!</v>
      </c>
      <c r="CA5" s="271" t="s">
        <v>8</v>
      </c>
      <c r="CB5" s="289" t="e">
        <f>#REF!</f>
        <v>#REF!</v>
      </c>
      <c r="CC5" s="286" t="e">
        <f>#REF!</f>
        <v>#REF!</v>
      </c>
      <c r="CD5" s="286" t="e">
        <f>#REF!</f>
        <v>#REF!</v>
      </c>
      <c r="CE5" s="284" t="e">
        <f>#REF!</f>
        <v>#REF!</v>
      </c>
      <c r="CF5" s="285" t="e">
        <f>#REF!</f>
        <v>#REF!</v>
      </c>
      <c r="CG5" s="271" t="s">
        <v>8</v>
      </c>
      <c r="CH5" s="289" t="e">
        <f>#REF!</f>
        <v>#REF!</v>
      </c>
      <c r="CI5" s="286" t="e">
        <f>#REF!</f>
        <v>#REF!</v>
      </c>
      <c r="CJ5" s="286" t="e">
        <f>#REF!</f>
        <v>#REF!</v>
      </c>
      <c r="CK5" s="287" t="e">
        <f>#REF!</f>
        <v>#REF!</v>
      </c>
      <c r="CL5" s="288" t="e">
        <f>#REF!</f>
        <v>#REF!</v>
      </c>
      <c r="CM5" s="271" t="s">
        <v>8</v>
      </c>
      <c r="CN5" s="289">
        <f t="shared" ref="CN5:CO9" si="5">J5</f>
        <v>0.8</v>
      </c>
      <c r="CO5" s="286">
        <f t="shared" si="5"/>
        <v>1</v>
      </c>
      <c r="CP5" s="286">
        <f t="shared" si="2"/>
        <v>1</v>
      </c>
      <c r="CQ5" s="287">
        <f t="shared" si="2"/>
        <v>1</v>
      </c>
      <c r="CR5" s="285">
        <f t="shared" si="2"/>
        <v>12.5</v>
      </c>
      <c r="CT5" s="405"/>
    </row>
    <row r="6" spans="1:98" outlineLevel="2" x14ac:dyDescent="0.25">
      <c r="A6" s="270" t="s">
        <v>213</v>
      </c>
      <c r="B6" s="271" t="s">
        <v>9</v>
      </c>
      <c r="C6" s="271" t="s">
        <v>7</v>
      </c>
      <c r="D6" s="406" t="s">
        <v>129</v>
      </c>
      <c r="E6" s="407">
        <v>644</v>
      </c>
      <c r="F6" s="407">
        <v>3508</v>
      </c>
      <c r="G6" s="272">
        <f t="shared" si="3"/>
        <v>0.18358038768529075</v>
      </c>
      <c r="H6" s="278">
        <v>6.25E-2</v>
      </c>
      <c r="I6" s="276"/>
      <c r="J6" s="277">
        <v>0.8</v>
      </c>
      <c r="K6" s="273">
        <v>1</v>
      </c>
      <c r="L6" s="273">
        <v>1</v>
      </c>
      <c r="M6" s="274">
        <f t="shared" si="0"/>
        <v>1</v>
      </c>
      <c r="N6" s="275">
        <f t="shared" si="4"/>
        <v>12.5</v>
      </c>
      <c r="O6" s="279"/>
      <c r="P6" s="280"/>
      <c r="Q6" s="281" t="e">
        <f>+N6+#REF!+#REF!+#REF!+#REF!+#REF!+#REF!+#REF!</f>
        <v>#REF!</v>
      </c>
      <c r="R6" s="282" t="e">
        <f t="shared" si="1"/>
        <v>#REF!</v>
      </c>
      <c r="S6" s="283">
        <v>90</v>
      </c>
      <c r="AP6" s="271" t="s">
        <v>9</v>
      </c>
      <c r="AQ6" s="284" t="e">
        <f>#REF!</f>
        <v>#REF!</v>
      </c>
      <c r="AR6" s="271" t="e">
        <f>#REF!</f>
        <v>#REF!</v>
      </c>
      <c r="AS6" s="271" t="e">
        <f>#REF!</f>
        <v>#REF!</v>
      </c>
      <c r="AT6" s="284" t="e">
        <f>#REF!</f>
        <v>#REF!</v>
      </c>
      <c r="AU6" s="285" t="e">
        <f>#REF!</f>
        <v>#REF!</v>
      </c>
      <c r="AV6" s="271" t="s">
        <v>9</v>
      </c>
      <c r="AW6" s="284" t="e">
        <f>#REF!</f>
        <v>#REF!</v>
      </c>
      <c r="AX6" s="286" t="e">
        <f>#REF!</f>
        <v>#REF!</v>
      </c>
      <c r="AY6" s="286" t="e">
        <f>#REF!</f>
        <v>#REF!</v>
      </c>
      <c r="AZ6" s="287" t="e">
        <f>#REF!</f>
        <v>#REF!</v>
      </c>
      <c r="BA6" s="288" t="e">
        <f>#REF!</f>
        <v>#REF!</v>
      </c>
      <c r="BB6" s="271" t="s">
        <v>9</v>
      </c>
      <c r="BC6" s="289" t="e">
        <f>#REF!</f>
        <v>#REF!</v>
      </c>
      <c r="BD6" s="286" t="e">
        <f>#REF!</f>
        <v>#REF!</v>
      </c>
      <c r="BE6" s="286" t="e">
        <f>#REF!</f>
        <v>#REF!</v>
      </c>
      <c r="BF6" s="287" t="e">
        <f>#REF!</f>
        <v>#REF!</v>
      </c>
      <c r="BG6" s="288" t="e">
        <f>#REF!</f>
        <v>#REF!</v>
      </c>
      <c r="BH6" s="271" t="s">
        <v>9</v>
      </c>
      <c r="BI6" s="289" t="e">
        <f>#REF!</f>
        <v>#REF!</v>
      </c>
      <c r="BJ6" s="286" t="e">
        <f>#REF!</f>
        <v>#REF!</v>
      </c>
      <c r="BK6" s="286" t="e">
        <f>#REF!</f>
        <v>#REF!</v>
      </c>
      <c r="BL6" s="287" t="e">
        <f>#REF!</f>
        <v>#REF!</v>
      </c>
      <c r="BM6" s="288" t="e">
        <f>#REF!</f>
        <v>#REF!</v>
      </c>
      <c r="BN6" s="288" t="e">
        <f>#REF!</f>
        <v>#REF!</v>
      </c>
      <c r="BO6" s="271" t="s">
        <v>9</v>
      </c>
      <c r="BP6" s="289" t="e">
        <f>#REF!</f>
        <v>#REF!</v>
      </c>
      <c r="BQ6" s="286" t="e">
        <f>#REF!</f>
        <v>#REF!</v>
      </c>
      <c r="BR6" s="286" t="e">
        <f>#REF!</f>
        <v>#REF!</v>
      </c>
      <c r="BS6" s="287" t="e">
        <f>#REF!</f>
        <v>#REF!</v>
      </c>
      <c r="BT6" s="290" t="e">
        <f>#REF!</f>
        <v>#REF!</v>
      </c>
      <c r="BU6" s="271" t="s">
        <v>9</v>
      </c>
      <c r="BV6" s="291" t="e">
        <f>#REF!</f>
        <v>#REF!</v>
      </c>
      <c r="BW6" s="286" t="e">
        <f>#REF!</f>
        <v>#REF!</v>
      </c>
      <c r="BX6" s="286" t="e">
        <f>#REF!</f>
        <v>#REF!</v>
      </c>
      <c r="BY6" s="284" t="e">
        <f>#REF!</f>
        <v>#REF!</v>
      </c>
      <c r="BZ6" s="285" t="e">
        <f>#REF!</f>
        <v>#REF!</v>
      </c>
      <c r="CA6" s="271" t="s">
        <v>9</v>
      </c>
      <c r="CB6" s="289" t="e">
        <f>#REF!</f>
        <v>#REF!</v>
      </c>
      <c r="CC6" s="286" t="e">
        <f>#REF!</f>
        <v>#REF!</v>
      </c>
      <c r="CD6" s="286" t="e">
        <f>#REF!</f>
        <v>#REF!</v>
      </c>
      <c r="CE6" s="284" t="e">
        <f>#REF!</f>
        <v>#REF!</v>
      </c>
      <c r="CF6" s="285" t="e">
        <f>#REF!</f>
        <v>#REF!</v>
      </c>
      <c r="CG6" s="271" t="s">
        <v>9</v>
      </c>
      <c r="CH6" s="289" t="e">
        <f>#REF!</f>
        <v>#REF!</v>
      </c>
      <c r="CI6" s="286" t="e">
        <f>#REF!</f>
        <v>#REF!</v>
      </c>
      <c r="CJ6" s="286" t="e">
        <f>#REF!</f>
        <v>#REF!</v>
      </c>
      <c r="CK6" s="287" t="e">
        <f>#REF!</f>
        <v>#REF!</v>
      </c>
      <c r="CL6" s="288" t="e">
        <f>#REF!</f>
        <v>#REF!</v>
      </c>
      <c r="CM6" s="271" t="s">
        <v>9</v>
      </c>
      <c r="CN6" s="289">
        <f t="shared" si="5"/>
        <v>0.8</v>
      </c>
      <c r="CO6" s="286">
        <f t="shared" si="5"/>
        <v>1</v>
      </c>
      <c r="CP6" s="286">
        <f t="shared" si="2"/>
        <v>1</v>
      </c>
      <c r="CQ6" s="287">
        <f t="shared" si="2"/>
        <v>1</v>
      </c>
      <c r="CR6" s="285">
        <f t="shared" si="2"/>
        <v>12.5</v>
      </c>
      <c r="CT6" s="405"/>
    </row>
    <row r="7" spans="1:98" outlineLevel="2" x14ac:dyDescent="0.25">
      <c r="A7" s="270" t="s">
        <v>214</v>
      </c>
      <c r="B7" s="271" t="s">
        <v>10</v>
      </c>
      <c r="C7" s="271" t="s">
        <v>7</v>
      </c>
      <c r="D7" s="406" t="s">
        <v>129</v>
      </c>
      <c r="E7" s="407">
        <v>242</v>
      </c>
      <c r="F7" s="407">
        <v>581</v>
      </c>
      <c r="G7" s="272">
        <f t="shared" si="3"/>
        <v>0.41652323580034423</v>
      </c>
      <c r="H7" s="278">
        <v>6.25E-2</v>
      </c>
      <c r="I7" s="276"/>
      <c r="J7" s="277">
        <v>0.8</v>
      </c>
      <c r="K7" s="273">
        <v>1</v>
      </c>
      <c r="L7" s="273">
        <v>1</v>
      </c>
      <c r="M7" s="274">
        <f t="shared" si="0"/>
        <v>1</v>
      </c>
      <c r="N7" s="275">
        <f t="shared" si="4"/>
        <v>12.5</v>
      </c>
      <c r="O7" s="279"/>
      <c r="P7" s="280"/>
      <c r="Q7" s="281" t="e">
        <f>+N7+#REF!+#REF!+#REF!+#REF!+#REF!+#REF!+#REF!</f>
        <v>#REF!</v>
      </c>
      <c r="R7" s="282" t="e">
        <f t="shared" si="1"/>
        <v>#REF!</v>
      </c>
      <c r="S7" s="283">
        <v>90</v>
      </c>
      <c r="AP7" s="271" t="s">
        <v>10</v>
      </c>
      <c r="AQ7" s="284" t="e">
        <f>#REF!</f>
        <v>#REF!</v>
      </c>
      <c r="AR7" s="271" t="e">
        <f>#REF!</f>
        <v>#REF!</v>
      </c>
      <c r="AS7" s="271" t="e">
        <f>#REF!</f>
        <v>#REF!</v>
      </c>
      <c r="AT7" s="284" t="e">
        <f>#REF!</f>
        <v>#REF!</v>
      </c>
      <c r="AU7" s="285" t="e">
        <f>#REF!</f>
        <v>#REF!</v>
      </c>
      <c r="AV7" s="271" t="s">
        <v>10</v>
      </c>
      <c r="AW7" s="284" t="e">
        <f>#REF!</f>
        <v>#REF!</v>
      </c>
      <c r="AX7" s="286" t="e">
        <f>#REF!</f>
        <v>#REF!</v>
      </c>
      <c r="AY7" s="286" t="e">
        <f>#REF!</f>
        <v>#REF!</v>
      </c>
      <c r="AZ7" s="287" t="e">
        <f>#REF!</f>
        <v>#REF!</v>
      </c>
      <c r="BA7" s="288" t="e">
        <f>#REF!</f>
        <v>#REF!</v>
      </c>
      <c r="BB7" s="271" t="s">
        <v>10</v>
      </c>
      <c r="BC7" s="289" t="e">
        <f>#REF!</f>
        <v>#REF!</v>
      </c>
      <c r="BD7" s="286" t="e">
        <f>#REF!</f>
        <v>#REF!</v>
      </c>
      <c r="BE7" s="286" t="e">
        <f>#REF!</f>
        <v>#REF!</v>
      </c>
      <c r="BF7" s="287" t="e">
        <f>#REF!</f>
        <v>#REF!</v>
      </c>
      <c r="BG7" s="288" t="e">
        <f>#REF!</f>
        <v>#REF!</v>
      </c>
      <c r="BH7" s="271" t="s">
        <v>10</v>
      </c>
      <c r="BI7" s="289" t="e">
        <f>#REF!</f>
        <v>#REF!</v>
      </c>
      <c r="BJ7" s="286" t="e">
        <f>#REF!</f>
        <v>#REF!</v>
      </c>
      <c r="BK7" s="286" t="e">
        <f>#REF!</f>
        <v>#REF!</v>
      </c>
      <c r="BL7" s="287" t="e">
        <f>#REF!</f>
        <v>#REF!</v>
      </c>
      <c r="BM7" s="288" t="e">
        <f>#REF!</f>
        <v>#REF!</v>
      </c>
      <c r="BN7" s="288" t="e">
        <f>#REF!</f>
        <v>#REF!</v>
      </c>
      <c r="BO7" s="271" t="s">
        <v>10</v>
      </c>
      <c r="BP7" s="289" t="e">
        <f>#REF!</f>
        <v>#REF!</v>
      </c>
      <c r="BQ7" s="286" t="e">
        <f>#REF!</f>
        <v>#REF!</v>
      </c>
      <c r="BR7" s="286" t="e">
        <f>#REF!</f>
        <v>#REF!</v>
      </c>
      <c r="BS7" s="287" t="e">
        <f>#REF!</f>
        <v>#REF!</v>
      </c>
      <c r="BT7" s="290" t="e">
        <f>#REF!</f>
        <v>#REF!</v>
      </c>
      <c r="BU7" s="271" t="s">
        <v>10</v>
      </c>
      <c r="BV7" s="291" t="e">
        <f>#REF!</f>
        <v>#REF!</v>
      </c>
      <c r="BW7" s="286" t="e">
        <f>#REF!</f>
        <v>#REF!</v>
      </c>
      <c r="BX7" s="286" t="e">
        <f>#REF!</f>
        <v>#REF!</v>
      </c>
      <c r="BY7" s="284" t="e">
        <f>#REF!</f>
        <v>#REF!</v>
      </c>
      <c r="BZ7" s="285" t="e">
        <f>#REF!</f>
        <v>#REF!</v>
      </c>
      <c r="CA7" s="271" t="s">
        <v>10</v>
      </c>
      <c r="CB7" s="289" t="e">
        <f>#REF!</f>
        <v>#REF!</v>
      </c>
      <c r="CC7" s="286" t="e">
        <f>#REF!</f>
        <v>#REF!</v>
      </c>
      <c r="CD7" s="286" t="e">
        <f>#REF!</f>
        <v>#REF!</v>
      </c>
      <c r="CE7" s="284" t="e">
        <f>#REF!</f>
        <v>#REF!</v>
      </c>
      <c r="CF7" s="285" t="e">
        <f>#REF!</f>
        <v>#REF!</v>
      </c>
      <c r="CG7" s="271" t="s">
        <v>10</v>
      </c>
      <c r="CH7" s="289" t="e">
        <f>#REF!</f>
        <v>#REF!</v>
      </c>
      <c r="CI7" s="286" t="e">
        <f>#REF!</f>
        <v>#REF!</v>
      </c>
      <c r="CJ7" s="286" t="e">
        <f>#REF!</f>
        <v>#REF!</v>
      </c>
      <c r="CK7" s="287" t="e">
        <f>#REF!</f>
        <v>#REF!</v>
      </c>
      <c r="CL7" s="288" t="e">
        <f>#REF!</f>
        <v>#REF!</v>
      </c>
      <c r="CM7" s="271" t="s">
        <v>10</v>
      </c>
      <c r="CN7" s="289">
        <f t="shared" si="5"/>
        <v>0.8</v>
      </c>
      <c r="CO7" s="286">
        <f t="shared" si="5"/>
        <v>1</v>
      </c>
      <c r="CP7" s="286">
        <f t="shared" si="2"/>
        <v>1</v>
      </c>
      <c r="CQ7" s="287">
        <f t="shared" si="2"/>
        <v>1</v>
      </c>
      <c r="CR7" s="285">
        <f t="shared" si="2"/>
        <v>12.5</v>
      </c>
      <c r="CT7" s="405"/>
    </row>
    <row r="8" spans="1:98" outlineLevel="2" x14ac:dyDescent="0.25">
      <c r="A8" s="270" t="s">
        <v>215</v>
      </c>
      <c r="B8" s="271" t="s">
        <v>11</v>
      </c>
      <c r="C8" s="271" t="s">
        <v>7</v>
      </c>
      <c r="D8" s="406" t="s">
        <v>129</v>
      </c>
      <c r="E8" s="407">
        <v>533</v>
      </c>
      <c r="F8" s="407">
        <v>2913</v>
      </c>
      <c r="G8" s="272">
        <f t="shared" si="3"/>
        <v>0.18297288019224167</v>
      </c>
      <c r="H8" s="278">
        <v>6.25E-2</v>
      </c>
      <c r="I8" s="276"/>
      <c r="J8" s="277">
        <v>0.8</v>
      </c>
      <c r="K8" s="273">
        <v>1</v>
      </c>
      <c r="L8" s="273">
        <v>1</v>
      </c>
      <c r="M8" s="274">
        <f t="shared" si="0"/>
        <v>1</v>
      </c>
      <c r="N8" s="275">
        <f t="shared" si="4"/>
        <v>12.5</v>
      </c>
      <c r="O8" s="279"/>
      <c r="P8" s="280"/>
      <c r="Q8" s="281" t="e">
        <f>+N8+#REF!+#REF!+#REF!+#REF!+#REF!+#REF!+#REF!</f>
        <v>#REF!</v>
      </c>
      <c r="R8" s="282" t="e">
        <f t="shared" si="1"/>
        <v>#REF!</v>
      </c>
      <c r="S8" s="283">
        <v>90</v>
      </c>
      <c r="AP8" s="271" t="s">
        <v>11</v>
      </c>
      <c r="AQ8" s="284" t="e">
        <f>#REF!</f>
        <v>#REF!</v>
      </c>
      <c r="AR8" s="271" t="e">
        <f>#REF!</f>
        <v>#REF!</v>
      </c>
      <c r="AS8" s="271" t="e">
        <f>#REF!</f>
        <v>#REF!</v>
      </c>
      <c r="AT8" s="284" t="e">
        <f>#REF!</f>
        <v>#REF!</v>
      </c>
      <c r="AU8" s="285" t="e">
        <f>#REF!</f>
        <v>#REF!</v>
      </c>
      <c r="AV8" s="271" t="s">
        <v>11</v>
      </c>
      <c r="AW8" s="284" t="e">
        <f>#REF!</f>
        <v>#REF!</v>
      </c>
      <c r="AX8" s="286" t="e">
        <f>#REF!</f>
        <v>#REF!</v>
      </c>
      <c r="AY8" s="286" t="e">
        <f>#REF!</f>
        <v>#REF!</v>
      </c>
      <c r="AZ8" s="287" t="e">
        <f>#REF!</f>
        <v>#REF!</v>
      </c>
      <c r="BA8" s="288" t="e">
        <f>#REF!</f>
        <v>#REF!</v>
      </c>
      <c r="BB8" s="271" t="s">
        <v>11</v>
      </c>
      <c r="BC8" s="289" t="e">
        <f>#REF!</f>
        <v>#REF!</v>
      </c>
      <c r="BD8" s="286" t="e">
        <f>#REF!</f>
        <v>#REF!</v>
      </c>
      <c r="BE8" s="286" t="e">
        <f>#REF!</f>
        <v>#REF!</v>
      </c>
      <c r="BF8" s="287" t="e">
        <f>#REF!</f>
        <v>#REF!</v>
      </c>
      <c r="BG8" s="288" t="e">
        <f>#REF!</f>
        <v>#REF!</v>
      </c>
      <c r="BH8" s="271" t="s">
        <v>11</v>
      </c>
      <c r="BI8" s="289" t="e">
        <f>#REF!</f>
        <v>#REF!</v>
      </c>
      <c r="BJ8" s="286" t="e">
        <f>#REF!</f>
        <v>#REF!</v>
      </c>
      <c r="BK8" s="286" t="e">
        <f>#REF!</f>
        <v>#REF!</v>
      </c>
      <c r="BL8" s="287" t="e">
        <f>#REF!</f>
        <v>#REF!</v>
      </c>
      <c r="BM8" s="288" t="e">
        <f>#REF!</f>
        <v>#REF!</v>
      </c>
      <c r="BN8" s="288" t="e">
        <f>#REF!</f>
        <v>#REF!</v>
      </c>
      <c r="BO8" s="271" t="s">
        <v>11</v>
      </c>
      <c r="BP8" s="289" t="e">
        <f>#REF!</f>
        <v>#REF!</v>
      </c>
      <c r="BQ8" s="286" t="e">
        <f>#REF!</f>
        <v>#REF!</v>
      </c>
      <c r="BR8" s="286" t="e">
        <f>#REF!</f>
        <v>#REF!</v>
      </c>
      <c r="BS8" s="287" t="e">
        <f>#REF!</f>
        <v>#REF!</v>
      </c>
      <c r="BT8" s="290" t="e">
        <f>#REF!</f>
        <v>#REF!</v>
      </c>
      <c r="BU8" s="271" t="s">
        <v>11</v>
      </c>
      <c r="BV8" s="291" t="e">
        <f>#REF!</f>
        <v>#REF!</v>
      </c>
      <c r="BW8" s="286" t="e">
        <f>#REF!</f>
        <v>#REF!</v>
      </c>
      <c r="BX8" s="286" t="e">
        <f>#REF!</f>
        <v>#REF!</v>
      </c>
      <c r="BY8" s="284" t="e">
        <f>#REF!</f>
        <v>#REF!</v>
      </c>
      <c r="BZ8" s="285" t="e">
        <f>#REF!</f>
        <v>#REF!</v>
      </c>
      <c r="CA8" s="271" t="s">
        <v>11</v>
      </c>
      <c r="CB8" s="289" t="e">
        <f>#REF!</f>
        <v>#REF!</v>
      </c>
      <c r="CC8" s="286" t="e">
        <f>#REF!</f>
        <v>#REF!</v>
      </c>
      <c r="CD8" s="286" t="e">
        <f>#REF!</f>
        <v>#REF!</v>
      </c>
      <c r="CE8" s="284" t="e">
        <f>#REF!</f>
        <v>#REF!</v>
      </c>
      <c r="CF8" s="285" t="e">
        <f>#REF!</f>
        <v>#REF!</v>
      </c>
      <c r="CG8" s="271" t="s">
        <v>11</v>
      </c>
      <c r="CH8" s="289" t="e">
        <f>#REF!</f>
        <v>#REF!</v>
      </c>
      <c r="CI8" s="286" t="e">
        <f>#REF!</f>
        <v>#REF!</v>
      </c>
      <c r="CJ8" s="286" t="e">
        <f>#REF!</f>
        <v>#REF!</v>
      </c>
      <c r="CK8" s="287" t="e">
        <f>#REF!</f>
        <v>#REF!</v>
      </c>
      <c r="CL8" s="288" t="e">
        <f>#REF!</f>
        <v>#REF!</v>
      </c>
      <c r="CM8" s="271" t="s">
        <v>11</v>
      </c>
      <c r="CN8" s="289">
        <f t="shared" si="5"/>
        <v>0.8</v>
      </c>
      <c r="CO8" s="286">
        <f t="shared" si="5"/>
        <v>1</v>
      </c>
      <c r="CP8" s="286">
        <f t="shared" si="2"/>
        <v>1</v>
      </c>
      <c r="CQ8" s="287">
        <f t="shared" si="2"/>
        <v>1</v>
      </c>
      <c r="CR8" s="285">
        <f t="shared" si="2"/>
        <v>12.5</v>
      </c>
      <c r="CT8" s="405"/>
    </row>
    <row r="9" spans="1:98" outlineLevel="2" x14ac:dyDescent="0.25">
      <c r="A9" s="270" t="s">
        <v>216</v>
      </c>
      <c r="B9" s="271" t="s">
        <v>12</v>
      </c>
      <c r="C9" s="271" t="s">
        <v>7</v>
      </c>
      <c r="D9" s="406" t="s">
        <v>129</v>
      </c>
      <c r="E9" s="407">
        <v>232</v>
      </c>
      <c r="F9" s="407">
        <v>2087</v>
      </c>
      <c r="G9" s="272">
        <f t="shared" si="3"/>
        <v>0.11116435074269286</v>
      </c>
      <c r="H9" s="278">
        <v>6.25E-2</v>
      </c>
      <c r="I9" s="276"/>
      <c r="J9" s="277">
        <v>0.8</v>
      </c>
      <c r="K9" s="273">
        <v>1</v>
      </c>
      <c r="L9" s="273">
        <v>1</v>
      </c>
      <c r="M9" s="274">
        <f t="shared" si="0"/>
        <v>1</v>
      </c>
      <c r="N9" s="275">
        <f t="shared" si="4"/>
        <v>12.5</v>
      </c>
      <c r="O9" s="279"/>
      <c r="P9" s="280"/>
      <c r="Q9" s="281" t="e">
        <f>+N9+#REF!+#REF!+#REF!+#REF!+#REF!+#REF!+#REF!</f>
        <v>#REF!</v>
      </c>
      <c r="R9" s="282" t="e">
        <f t="shared" si="1"/>
        <v>#REF!</v>
      </c>
      <c r="S9" s="283">
        <v>90</v>
      </c>
      <c r="AP9" s="271" t="s">
        <v>12</v>
      </c>
      <c r="AQ9" s="284" t="e">
        <f>#REF!</f>
        <v>#REF!</v>
      </c>
      <c r="AR9" s="271" t="e">
        <f>#REF!</f>
        <v>#REF!</v>
      </c>
      <c r="AS9" s="271" t="e">
        <f>#REF!</f>
        <v>#REF!</v>
      </c>
      <c r="AT9" s="284" t="e">
        <f>#REF!</f>
        <v>#REF!</v>
      </c>
      <c r="AU9" s="285" t="e">
        <f>#REF!</f>
        <v>#REF!</v>
      </c>
      <c r="AV9" s="271" t="s">
        <v>12</v>
      </c>
      <c r="AW9" s="284" t="e">
        <f>#REF!</f>
        <v>#REF!</v>
      </c>
      <c r="AX9" s="286" t="e">
        <f>#REF!</f>
        <v>#REF!</v>
      </c>
      <c r="AY9" s="286" t="e">
        <f>#REF!</f>
        <v>#REF!</v>
      </c>
      <c r="AZ9" s="287" t="e">
        <f>#REF!</f>
        <v>#REF!</v>
      </c>
      <c r="BA9" s="288" t="e">
        <f>#REF!</f>
        <v>#REF!</v>
      </c>
      <c r="BB9" s="271" t="s">
        <v>12</v>
      </c>
      <c r="BC9" s="289" t="e">
        <f>#REF!</f>
        <v>#REF!</v>
      </c>
      <c r="BD9" s="286" t="e">
        <f>#REF!</f>
        <v>#REF!</v>
      </c>
      <c r="BE9" s="286" t="e">
        <f>#REF!</f>
        <v>#REF!</v>
      </c>
      <c r="BF9" s="287" t="e">
        <f>#REF!</f>
        <v>#REF!</v>
      </c>
      <c r="BG9" s="288" t="e">
        <f>#REF!</f>
        <v>#REF!</v>
      </c>
      <c r="BH9" s="271" t="s">
        <v>12</v>
      </c>
      <c r="BI9" s="289" t="e">
        <f>#REF!</f>
        <v>#REF!</v>
      </c>
      <c r="BJ9" s="286" t="e">
        <f>#REF!</f>
        <v>#REF!</v>
      </c>
      <c r="BK9" s="286" t="e">
        <f>#REF!</f>
        <v>#REF!</v>
      </c>
      <c r="BL9" s="287" t="e">
        <f>#REF!</f>
        <v>#REF!</v>
      </c>
      <c r="BM9" s="288" t="e">
        <f>#REF!</f>
        <v>#REF!</v>
      </c>
      <c r="BN9" s="288" t="e">
        <f>#REF!</f>
        <v>#REF!</v>
      </c>
      <c r="BO9" s="271" t="s">
        <v>12</v>
      </c>
      <c r="BP9" s="289" t="e">
        <f>#REF!</f>
        <v>#REF!</v>
      </c>
      <c r="BQ9" s="286" t="e">
        <f>#REF!</f>
        <v>#REF!</v>
      </c>
      <c r="BR9" s="286" t="e">
        <f>#REF!</f>
        <v>#REF!</v>
      </c>
      <c r="BS9" s="287" t="e">
        <f>#REF!</f>
        <v>#REF!</v>
      </c>
      <c r="BT9" s="290" t="e">
        <f>#REF!</f>
        <v>#REF!</v>
      </c>
      <c r="BU9" s="271" t="s">
        <v>12</v>
      </c>
      <c r="BV9" s="291" t="e">
        <f>#REF!</f>
        <v>#REF!</v>
      </c>
      <c r="BW9" s="286" t="e">
        <f>#REF!</f>
        <v>#REF!</v>
      </c>
      <c r="BX9" s="286" t="e">
        <f>#REF!</f>
        <v>#REF!</v>
      </c>
      <c r="BY9" s="284" t="e">
        <f>#REF!</f>
        <v>#REF!</v>
      </c>
      <c r="BZ9" s="285" t="e">
        <f>#REF!</f>
        <v>#REF!</v>
      </c>
      <c r="CA9" s="271" t="s">
        <v>12</v>
      </c>
      <c r="CB9" s="289" t="e">
        <f>#REF!</f>
        <v>#REF!</v>
      </c>
      <c r="CC9" s="286" t="e">
        <f>#REF!</f>
        <v>#REF!</v>
      </c>
      <c r="CD9" s="286" t="e">
        <f>#REF!</f>
        <v>#REF!</v>
      </c>
      <c r="CE9" s="284" t="e">
        <f>#REF!</f>
        <v>#REF!</v>
      </c>
      <c r="CF9" s="285" t="e">
        <f>#REF!</f>
        <v>#REF!</v>
      </c>
      <c r="CG9" s="271" t="s">
        <v>12</v>
      </c>
      <c r="CH9" s="289" t="e">
        <f>#REF!</f>
        <v>#REF!</v>
      </c>
      <c r="CI9" s="286" t="e">
        <f>#REF!</f>
        <v>#REF!</v>
      </c>
      <c r="CJ9" s="286" t="e">
        <f>#REF!</f>
        <v>#REF!</v>
      </c>
      <c r="CK9" s="287" t="e">
        <f>#REF!</f>
        <v>#REF!</v>
      </c>
      <c r="CL9" s="288" t="e">
        <f>#REF!</f>
        <v>#REF!</v>
      </c>
      <c r="CM9" s="271" t="s">
        <v>12</v>
      </c>
      <c r="CN9" s="289">
        <f t="shared" si="5"/>
        <v>0.8</v>
      </c>
      <c r="CO9" s="286">
        <f t="shared" si="5"/>
        <v>1</v>
      </c>
      <c r="CP9" s="286">
        <f t="shared" si="2"/>
        <v>1</v>
      </c>
      <c r="CQ9" s="287">
        <f t="shared" si="2"/>
        <v>1</v>
      </c>
      <c r="CR9" s="285">
        <f t="shared" si="2"/>
        <v>12.5</v>
      </c>
      <c r="CS9" s="292" t="s">
        <v>327</v>
      </c>
      <c r="CT9" s="405"/>
    </row>
    <row r="10" spans="1:98" ht="12.75" customHeight="1" outlineLevel="2" x14ac:dyDescent="0.25">
      <c r="A10" s="270" t="s">
        <v>217</v>
      </c>
      <c r="B10" s="271" t="s">
        <v>13</v>
      </c>
      <c r="C10" s="271" t="s">
        <v>7</v>
      </c>
      <c r="D10" s="406" t="s">
        <v>129</v>
      </c>
      <c r="E10" s="407">
        <v>512</v>
      </c>
      <c r="F10" s="407">
        <v>3162</v>
      </c>
      <c r="G10" s="272">
        <f t="shared" si="3"/>
        <v>0.16192283364958887</v>
      </c>
      <c r="H10" s="278">
        <v>6.25E-2</v>
      </c>
      <c r="I10" s="276"/>
      <c r="J10" s="277">
        <v>0.8</v>
      </c>
      <c r="K10" s="273">
        <v>1</v>
      </c>
      <c r="L10" s="273">
        <v>1</v>
      </c>
      <c r="M10" s="274">
        <f>IF(J10="aut",100%,IF(L10=0,100%,K10/L10))</f>
        <v>1</v>
      </c>
      <c r="N10" s="275">
        <f t="shared" si="4"/>
        <v>12.5</v>
      </c>
      <c r="O10" s="279"/>
      <c r="P10" s="280"/>
      <c r="Q10" s="281" t="e">
        <f>+N10+#REF!+#REF!+#REF!+#REF!+#REF!+#REF!+#REF!</f>
        <v>#REF!</v>
      </c>
      <c r="R10" s="282" t="e">
        <f t="shared" si="1"/>
        <v>#REF!</v>
      </c>
      <c r="S10" s="283">
        <v>90</v>
      </c>
      <c r="AQ10" s="293">
        <v>0.9</v>
      </c>
      <c r="AR10" s="294" t="e">
        <f>SUM(AR4:AR9)</f>
        <v>#REF!</v>
      </c>
      <c r="AS10" s="294" t="e">
        <f>SUM(AS4:AS9)</f>
        <v>#REF!</v>
      </c>
      <c r="AT10" s="295" t="e">
        <f>AR10/AS10</f>
        <v>#REF!</v>
      </c>
      <c r="AU10" s="296" t="e">
        <f>IF(AQ10="aut",$C$2,IF(AT10&gt;=AQ10,$C$2,((AT10/AQ10)*$C$2)))</f>
        <v>#REF!</v>
      </c>
      <c r="AW10" s="293">
        <v>0.9</v>
      </c>
      <c r="AX10" s="297" t="e">
        <f>SUM(AX4:AX9)</f>
        <v>#REF!</v>
      </c>
      <c r="AY10" s="297" t="e">
        <f>SUM(AY4:AY9)</f>
        <v>#REF!</v>
      </c>
      <c r="AZ10" s="298" t="e">
        <f>AX10/AY10</f>
        <v>#REF!</v>
      </c>
      <c r="BA10" s="299" t="e">
        <f>IF(AW10="aut",$C$2,IF(AZ10&gt;=AW10,$C$2,((AZ10/AW10)*$C$2)))</f>
        <v>#REF!</v>
      </c>
      <c r="BC10" s="289" t="e">
        <f>#REF!</f>
        <v>#REF!</v>
      </c>
      <c r="BD10" s="297" t="e">
        <f>SUM(BD4:BD9)</f>
        <v>#REF!</v>
      </c>
      <c r="BE10" s="297" t="e">
        <f>SUM(BE4:BE9)</f>
        <v>#REF!</v>
      </c>
      <c r="BF10" s="298" t="e">
        <f>BD10/BE10</f>
        <v>#REF!</v>
      </c>
      <c r="BG10" s="299" t="e">
        <f>IF(BC10="aut",$C$2,IF(BF10&gt;=BC10,$C$2,((BF10/BC10)*$C$2/2)))</f>
        <v>#REF!</v>
      </c>
      <c r="BI10" s="293" t="e">
        <f>BJ10/BK10</f>
        <v>#REF!</v>
      </c>
      <c r="BJ10" s="297" t="e">
        <f>SUM(BJ4:BJ9)</f>
        <v>#REF!</v>
      </c>
      <c r="BK10" s="297" t="e">
        <f>SUM(BK4:BK9)</f>
        <v>#REF!</v>
      </c>
      <c r="BL10" s="298">
        <f>IFERROR(BI10/BI10,0%)</f>
        <v>0</v>
      </c>
      <c r="BM10" s="299" t="e">
        <f>IF(#REF!="aut",($C$2/2),IF(#REF!&gt;=#REF!,$C$2/2,((#REF!/#REF!)*$C$2/2)))</f>
        <v>#REF!</v>
      </c>
      <c r="BN10" s="299" t="e">
        <f>BG10+BM10</f>
        <v>#REF!</v>
      </c>
      <c r="BP10" s="293">
        <v>0.28000000000000003</v>
      </c>
      <c r="BQ10" s="297" t="e">
        <f>SUM(BQ4:BQ9)</f>
        <v>#REF!</v>
      </c>
      <c r="BR10" s="297" t="e">
        <f>SUM(BR4:BR9)</f>
        <v>#REF!</v>
      </c>
      <c r="BS10" s="298" t="e">
        <f>BQ10/BR10</f>
        <v>#REF!</v>
      </c>
      <c r="BT10" s="299" t="e">
        <f>IF(BP10="aut",$C$2,IF(BS10&gt;=BP10,$C$2,((BS10/BP10)*$C$2)))</f>
        <v>#REF!</v>
      </c>
      <c r="BV10" s="293">
        <v>0.9</v>
      </c>
      <c r="BW10" s="297" t="e">
        <f>SUM(BW4:BW9)</f>
        <v>#REF!</v>
      </c>
      <c r="BX10" s="297" t="e">
        <f>SUM(BX4:BX9)</f>
        <v>#REF!</v>
      </c>
      <c r="BY10" s="298" t="e">
        <f>BW10/BX10</f>
        <v>#REF!</v>
      </c>
      <c r="BZ10" s="299" t="e">
        <f>IF(BV10="aut",$C$2,IF(BY10&gt;=BV10,$C$2,((BY10/BV10)*$C$2)))</f>
        <v>#REF!</v>
      </c>
      <c r="CB10" s="293">
        <v>0.43</v>
      </c>
      <c r="CC10" s="297" t="e">
        <f>SUM(CC4:CC9)</f>
        <v>#REF!</v>
      </c>
      <c r="CD10" s="297" t="e">
        <f>SUM(CD4:CD9)</f>
        <v>#REF!</v>
      </c>
      <c r="CE10" s="298" t="e">
        <f>CC10/CD10</f>
        <v>#REF!</v>
      </c>
      <c r="CF10" s="299" t="e">
        <f>IF(CB10="aut",$C$2,IF(CE10&gt;=CB10,$C$2,((CE10/CB10)*$C$2)))</f>
        <v>#REF!</v>
      </c>
      <c r="CH10" s="293">
        <v>0.6</v>
      </c>
      <c r="CI10" s="297" t="e">
        <f>SUM(CI4:CI9)</f>
        <v>#REF!</v>
      </c>
      <c r="CJ10" s="297" t="e">
        <f>SUM(CJ4:CJ9)</f>
        <v>#REF!</v>
      </c>
      <c r="CK10" s="298" t="e">
        <f>CI10/CJ10</f>
        <v>#REF!</v>
      </c>
      <c r="CL10" s="299" t="e">
        <f>IF(CH10="aut",$C$2,IF(CK10&gt;=CH10,$C$2,((CK10/CH10)*$C$2)))</f>
        <v>#REF!</v>
      </c>
      <c r="CN10" s="293">
        <v>0.8</v>
      </c>
      <c r="CO10" s="297">
        <f>SUM(CO4:CO9)</f>
        <v>6</v>
      </c>
      <c r="CP10" s="297">
        <f>SUM(CP4:CP9)</f>
        <v>6</v>
      </c>
      <c r="CQ10" s="298">
        <f>CO10/CP10</f>
        <v>1</v>
      </c>
      <c r="CR10" s="299">
        <f>IF(CN10="aut",$C$2,IF(CQ10&gt;=CN10,$C$2,((CQ10/CN10)*$C$2)))</f>
        <v>12.5</v>
      </c>
      <c r="CS10" s="300" t="e">
        <f>+CR10+CL10+CF10+BZ10+BT10+BN10+BA10+AU10</f>
        <v>#REF!</v>
      </c>
      <c r="CT10" s="405"/>
    </row>
    <row r="11" spans="1:98" outlineLevel="2" x14ac:dyDescent="0.25">
      <c r="A11" s="270" t="s">
        <v>218</v>
      </c>
      <c r="B11" s="271" t="s">
        <v>14</v>
      </c>
      <c r="C11" s="271" t="s">
        <v>7</v>
      </c>
      <c r="D11" s="406" t="s">
        <v>129</v>
      </c>
      <c r="E11" s="407">
        <v>258</v>
      </c>
      <c r="F11" s="407">
        <v>1852</v>
      </c>
      <c r="G11" s="272">
        <f t="shared" si="3"/>
        <v>0.13930885529157666</v>
      </c>
      <c r="H11" s="278">
        <v>6.25E-2</v>
      </c>
      <c r="I11" s="276"/>
      <c r="J11" s="277">
        <v>0.8</v>
      </c>
      <c r="K11" s="273">
        <v>1</v>
      </c>
      <c r="L11" s="273">
        <v>1</v>
      </c>
      <c r="M11" s="274">
        <f t="shared" si="0"/>
        <v>1</v>
      </c>
      <c r="N11" s="275">
        <f t="shared" si="4"/>
        <v>12.5</v>
      </c>
      <c r="O11" s="279"/>
      <c r="P11" s="280"/>
      <c r="Q11" s="281" t="e">
        <f>+N11+#REF!+#REF!+#REF!+#REF!+#REF!+#REF!+#REF!</f>
        <v>#REF!</v>
      </c>
      <c r="R11" s="282" t="e">
        <f t="shared" si="1"/>
        <v>#REF!</v>
      </c>
      <c r="S11" s="283">
        <v>90</v>
      </c>
      <c r="AP11" s="271" t="s">
        <v>13</v>
      </c>
      <c r="AQ11" s="284" t="e">
        <f>#REF!</f>
        <v>#REF!</v>
      </c>
      <c r="AR11" s="301" t="e">
        <f>#REF!</f>
        <v>#REF!</v>
      </c>
      <c r="AS11" s="301" t="e">
        <f>#REF!</f>
        <v>#REF!</v>
      </c>
      <c r="AT11" s="284" t="e">
        <f>#REF!</f>
        <v>#REF!</v>
      </c>
      <c r="AU11" s="285" t="e">
        <f>#REF!</f>
        <v>#REF!</v>
      </c>
      <c r="AV11" s="271" t="s">
        <v>13</v>
      </c>
      <c r="AW11" s="284" t="e">
        <f>#REF!</f>
        <v>#REF!</v>
      </c>
      <c r="AX11" s="286" t="e">
        <f>#REF!</f>
        <v>#REF!</v>
      </c>
      <c r="AY11" s="286" t="e">
        <f>#REF!</f>
        <v>#REF!</v>
      </c>
      <c r="AZ11" s="284" t="e">
        <f>#REF!</f>
        <v>#REF!</v>
      </c>
      <c r="BA11" s="285" t="e">
        <f>#REF!</f>
        <v>#REF!</v>
      </c>
      <c r="BB11" s="271" t="s">
        <v>13</v>
      </c>
      <c r="BC11" s="289" t="e">
        <f>#REF!</f>
        <v>#REF!</v>
      </c>
      <c r="BD11" s="286" t="e">
        <f>#REF!</f>
        <v>#REF!</v>
      </c>
      <c r="BE11" s="286" t="e">
        <f>#REF!</f>
        <v>#REF!</v>
      </c>
      <c r="BF11" s="284" t="e">
        <f>#REF!</f>
        <v>#REF!</v>
      </c>
      <c r="BG11" s="285" t="e">
        <f>#REF!</f>
        <v>#REF!</v>
      </c>
      <c r="BH11" s="271" t="s">
        <v>13</v>
      </c>
      <c r="BI11" s="289" t="e">
        <f>#REF!</f>
        <v>#REF!</v>
      </c>
      <c r="BJ11" s="286" t="e">
        <f>#REF!</f>
        <v>#REF!</v>
      </c>
      <c r="BK11" s="286" t="e">
        <f>#REF!</f>
        <v>#REF!</v>
      </c>
      <c r="BL11" s="284" t="e">
        <f>#REF!</f>
        <v>#REF!</v>
      </c>
      <c r="BM11" s="285" t="e">
        <f>#REF!</f>
        <v>#REF!</v>
      </c>
      <c r="BN11" s="288" t="e">
        <f>#REF!</f>
        <v>#REF!</v>
      </c>
      <c r="BO11" s="271" t="s">
        <v>13</v>
      </c>
      <c r="BP11" s="289" t="e">
        <f>#REF!</f>
        <v>#REF!</v>
      </c>
      <c r="BQ11" s="286" t="e">
        <f>#REF!</f>
        <v>#REF!</v>
      </c>
      <c r="BR11" s="286" t="e">
        <f>#REF!</f>
        <v>#REF!</v>
      </c>
      <c r="BS11" s="284" t="e">
        <f>#REF!</f>
        <v>#REF!</v>
      </c>
      <c r="BT11" s="285" t="e">
        <f>#REF!</f>
        <v>#REF!</v>
      </c>
      <c r="BU11" s="271" t="s">
        <v>13</v>
      </c>
      <c r="BV11" s="289" t="e">
        <f>#REF!</f>
        <v>#REF!</v>
      </c>
      <c r="BW11" s="286" t="e">
        <f>#REF!</f>
        <v>#REF!</v>
      </c>
      <c r="BX11" s="286" t="e">
        <f>#REF!</f>
        <v>#REF!</v>
      </c>
      <c r="BY11" s="284" t="e">
        <f>#REF!</f>
        <v>#REF!</v>
      </c>
      <c r="BZ11" s="285" t="e">
        <f>#REF!</f>
        <v>#REF!</v>
      </c>
      <c r="CA11" s="271" t="s">
        <v>13</v>
      </c>
      <c r="CB11" s="289" t="e">
        <f>#REF!</f>
        <v>#REF!</v>
      </c>
      <c r="CC11" s="286" t="e">
        <f>#REF!</f>
        <v>#REF!</v>
      </c>
      <c r="CD11" s="286" t="e">
        <f>#REF!</f>
        <v>#REF!</v>
      </c>
      <c r="CE11" s="284" t="e">
        <f>#REF!</f>
        <v>#REF!</v>
      </c>
      <c r="CF11" s="285" t="e">
        <f>#REF!</f>
        <v>#REF!</v>
      </c>
      <c r="CG11" s="271" t="s">
        <v>13</v>
      </c>
      <c r="CH11" s="289" t="e">
        <f>#REF!</f>
        <v>#REF!</v>
      </c>
      <c r="CI11" s="286" t="e">
        <f>#REF!</f>
        <v>#REF!</v>
      </c>
      <c r="CJ11" s="286" t="e">
        <f>#REF!</f>
        <v>#REF!</v>
      </c>
      <c r="CK11" s="284" t="e">
        <f>#REF!</f>
        <v>#REF!</v>
      </c>
      <c r="CL11" s="285" t="e">
        <f>#REF!</f>
        <v>#REF!</v>
      </c>
      <c r="CM11" s="271" t="s">
        <v>13</v>
      </c>
      <c r="CN11" s="289">
        <f t="shared" ref="CN11:CR12" si="6">J10</f>
        <v>0.8</v>
      </c>
      <c r="CO11" s="286">
        <f t="shared" si="6"/>
        <v>1</v>
      </c>
      <c r="CP11" s="286">
        <f t="shared" si="6"/>
        <v>1</v>
      </c>
      <c r="CQ11" s="284">
        <f t="shared" si="6"/>
        <v>1</v>
      </c>
      <c r="CR11" s="285">
        <f t="shared" si="6"/>
        <v>12.5</v>
      </c>
      <c r="CT11" s="405"/>
    </row>
    <row r="12" spans="1:98" outlineLevel="2" x14ac:dyDescent="0.25">
      <c r="A12" s="270" t="s">
        <v>219</v>
      </c>
      <c r="B12" s="271" t="s">
        <v>15</v>
      </c>
      <c r="C12" s="271" t="s">
        <v>7</v>
      </c>
      <c r="D12" s="406" t="s">
        <v>129</v>
      </c>
      <c r="E12" s="407">
        <v>40</v>
      </c>
      <c r="F12" s="407">
        <v>716</v>
      </c>
      <c r="G12" s="272">
        <f t="shared" si="3"/>
        <v>5.5865921787709494E-2</v>
      </c>
      <c r="H12" s="278">
        <v>6.25E-2</v>
      </c>
      <c r="I12" s="276"/>
      <c r="J12" s="277">
        <v>0.8</v>
      </c>
      <c r="K12" s="273">
        <v>1</v>
      </c>
      <c r="L12" s="273">
        <v>1</v>
      </c>
      <c r="M12" s="274">
        <f t="shared" si="0"/>
        <v>1</v>
      </c>
      <c r="N12" s="275">
        <f t="shared" si="4"/>
        <v>12.5</v>
      </c>
      <c r="O12" s="279"/>
      <c r="P12" s="280"/>
      <c r="Q12" s="281" t="e">
        <f>N12+#REF!+#REF!+#REF!+#REF!+#REF!+#REF!+#REF!</f>
        <v>#REF!</v>
      </c>
      <c r="R12" s="282" t="e">
        <f t="shared" si="1"/>
        <v>#REF!</v>
      </c>
      <c r="S12" s="283">
        <v>90</v>
      </c>
      <c r="AP12" s="271" t="s">
        <v>14</v>
      </c>
      <c r="AQ12" s="284" t="e">
        <f>#REF!</f>
        <v>#REF!</v>
      </c>
      <c r="AR12" s="301" t="e">
        <f>#REF!</f>
        <v>#REF!</v>
      </c>
      <c r="AS12" s="301" t="e">
        <f>#REF!</f>
        <v>#REF!</v>
      </c>
      <c r="AT12" s="284" t="e">
        <f>#REF!</f>
        <v>#REF!</v>
      </c>
      <c r="AU12" s="285" t="e">
        <f>#REF!</f>
        <v>#REF!</v>
      </c>
      <c r="AV12" s="271" t="s">
        <v>14</v>
      </c>
      <c r="AW12" s="284" t="e">
        <f>#REF!</f>
        <v>#REF!</v>
      </c>
      <c r="AX12" s="286" t="e">
        <f>#REF!</f>
        <v>#REF!</v>
      </c>
      <c r="AY12" s="286" t="e">
        <f>#REF!</f>
        <v>#REF!</v>
      </c>
      <c r="AZ12" s="284" t="e">
        <f>#REF!</f>
        <v>#REF!</v>
      </c>
      <c r="BA12" s="285" t="e">
        <f>#REF!</f>
        <v>#REF!</v>
      </c>
      <c r="BB12" s="271" t="s">
        <v>14</v>
      </c>
      <c r="BC12" s="289" t="e">
        <f>#REF!</f>
        <v>#REF!</v>
      </c>
      <c r="BD12" s="286" t="e">
        <f>#REF!</f>
        <v>#REF!</v>
      </c>
      <c r="BE12" s="286" t="e">
        <f>#REF!</f>
        <v>#REF!</v>
      </c>
      <c r="BF12" s="284" t="e">
        <f>#REF!</f>
        <v>#REF!</v>
      </c>
      <c r="BG12" s="285" t="e">
        <f>#REF!</f>
        <v>#REF!</v>
      </c>
      <c r="BH12" s="271" t="s">
        <v>14</v>
      </c>
      <c r="BI12" s="289" t="e">
        <f>#REF!</f>
        <v>#REF!</v>
      </c>
      <c r="BJ12" s="286" t="e">
        <f>#REF!</f>
        <v>#REF!</v>
      </c>
      <c r="BK12" s="286" t="e">
        <f>#REF!</f>
        <v>#REF!</v>
      </c>
      <c r="BL12" s="284" t="e">
        <f>#REF!</f>
        <v>#REF!</v>
      </c>
      <c r="BM12" s="285" t="e">
        <f>#REF!</f>
        <v>#REF!</v>
      </c>
      <c r="BN12" s="288" t="e">
        <f>#REF!</f>
        <v>#REF!</v>
      </c>
      <c r="BO12" s="271" t="s">
        <v>14</v>
      </c>
      <c r="BP12" s="289" t="e">
        <f>#REF!</f>
        <v>#REF!</v>
      </c>
      <c r="BQ12" s="286" t="e">
        <f>#REF!</f>
        <v>#REF!</v>
      </c>
      <c r="BR12" s="286" t="e">
        <f>#REF!</f>
        <v>#REF!</v>
      </c>
      <c r="BS12" s="284" t="e">
        <f>#REF!</f>
        <v>#REF!</v>
      </c>
      <c r="BT12" s="285" t="e">
        <f>#REF!</f>
        <v>#REF!</v>
      </c>
      <c r="BU12" s="271" t="s">
        <v>14</v>
      </c>
      <c r="BV12" s="289" t="e">
        <f>#REF!</f>
        <v>#REF!</v>
      </c>
      <c r="BW12" s="286" t="e">
        <f>#REF!</f>
        <v>#REF!</v>
      </c>
      <c r="BX12" s="286" t="e">
        <f>#REF!</f>
        <v>#REF!</v>
      </c>
      <c r="BY12" s="284" t="e">
        <f>#REF!</f>
        <v>#REF!</v>
      </c>
      <c r="BZ12" s="285" t="e">
        <f>#REF!</f>
        <v>#REF!</v>
      </c>
      <c r="CA12" s="271" t="s">
        <v>14</v>
      </c>
      <c r="CB12" s="289" t="e">
        <f>#REF!</f>
        <v>#REF!</v>
      </c>
      <c r="CC12" s="286" t="e">
        <f>#REF!</f>
        <v>#REF!</v>
      </c>
      <c r="CD12" s="286" t="e">
        <f>#REF!</f>
        <v>#REF!</v>
      </c>
      <c r="CE12" s="284" t="e">
        <f>#REF!</f>
        <v>#REF!</v>
      </c>
      <c r="CF12" s="285" t="e">
        <f>#REF!</f>
        <v>#REF!</v>
      </c>
      <c r="CG12" s="271" t="s">
        <v>14</v>
      </c>
      <c r="CH12" s="289" t="e">
        <f>#REF!</f>
        <v>#REF!</v>
      </c>
      <c r="CI12" s="286" t="e">
        <f>#REF!</f>
        <v>#REF!</v>
      </c>
      <c r="CJ12" s="286" t="e">
        <f>#REF!</f>
        <v>#REF!</v>
      </c>
      <c r="CK12" s="284" t="e">
        <f>#REF!</f>
        <v>#REF!</v>
      </c>
      <c r="CL12" s="285" t="e">
        <f>#REF!</f>
        <v>#REF!</v>
      </c>
      <c r="CM12" s="271" t="s">
        <v>14</v>
      </c>
      <c r="CN12" s="289">
        <f t="shared" si="6"/>
        <v>0.8</v>
      </c>
      <c r="CO12" s="286">
        <f t="shared" si="6"/>
        <v>1</v>
      </c>
      <c r="CP12" s="286">
        <f t="shared" si="6"/>
        <v>1</v>
      </c>
      <c r="CQ12" s="284">
        <f t="shared" si="6"/>
        <v>1</v>
      </c>
      <c r="CR12" s="285">
        <f t="shared" si="6"/>
        <v>12.5</v>
      </c>
      <c r="CS12" s="292" t="s">
        <v>328</v>
      </c>
      <c r="CT12" s="405"/>
    </row>
    <row r="13" spans="1:98" outlineLevel="2" x14ac:dyDescent="0.25">
      <c r="A13" s="270" t="s">
        <v>220</v>
      </c>
      <c r="B13" s="271" t="s">
        <v>16</v>
      </c>
      <c r="C13" s="271" t="s">
        <v>7</v>
      </c>
      <c r="D13" s="406" t="s">
        <v>129</v>
      </c>
      <c r="E13" s="407">
        <v>219</v>
      </c>
      <c r="F13" s="407">
        <v>1344</v>
      </c>
      <c r="G13" s="272">
        <f t="shared" si="3"/>
        <v>0.16294642857142858</v>
      </c>
      <c r="H13" s="278">
        <v>6.25E-2</v>
      </c>
      <c r="I13" s="276"/>
      <c r="J13" s="277">
        <v>0.8</v>
      </c>
      <c r="K13" s="273">
        <v>1</v>
      </c>
      <c r="L13" s="273">
        <v>1</v>
      </c>
      <c r="M13" s="274">
        <f t="shared" si="0"/>
        <v>1</v>
      </c>
      <c r="N13" s="275">
        <f t="shared" si="4"/>
        <v>12.5</v>
      </c>
      <c r="O13" s="279"/>
      <c r="P13" s="280"/>
      <c r="Q13" s="281" t="e">
        <f>+N13+#REF!+#REF!+#REF!+#REF!+#REF!+#REF!+#REF!</f>
        <v>#REF!</v>
      </c>
      <c r="R13" s="282" t="e">
        <f t="shared" si="1"/>
        <v>#REF!</v>
      </c>
      <c r="S13" s="283">
        <v>90</v>
      </c>
      <c r="AQ13" s="302" t="e">
        <f>SUM(AQ11:AQ12)</f>
        <v>#REF!</v>
      </c>
      <c r="AR13" s="302" t="e">
        <f>SUM(AR11:AR12)</f>
        <v>#REF!</v>
      </c>
      <c r="AS13" s="302" t="e">
        <f>SUM(AS11:AS12)</f>
        <v>#REF!</v>
      </c>
      <c r="AT13" s="295" t="e">
        <f>AR13/AS13</f>
        <v>#REF!</v>
      </c>
      <c r="AU13" s="296" t="e">
        <f>IF(AQ13="aut",$C$2,IF(AT13&gt;=AQ13,$C$2,((AT13/AQ13)*$C$2)))</f>
        <v>#REF!</v>
      </c>
      <c r="AW13" s="293">
        <v>0.9</v>
      </c>
      <c r="AX13" s="297" t="e">
        <f>SUM(AX11:AX12)</f>
        <v>#REF!</v>
      </c>
      <c r="AY13" s="297" t="e">
        <f>SUM(AY11:AY12)</f>
        <v>#REF!</v>
      </c>
      <c r="AZ13" s="295" t="e">
        <f>AX13/AY13</f>
        <v>#REF!</v>
      </c>
      <c r="BA13" s="296" t="e">
        <f>IF(AW13="aut",$C$2,IF(AZ13&gt;=AW13,$C$2,((AZ13/AW13)*$C$2)))</f>
        <v>#REF!</v>
      </c>
      <c r="BC13" s="289" t="e">
        <f>#REF!</f>
        <v>#REF!</v>
      </c>
      <c r="BD13" s="297" t="e">
        <f>SUM(BD11:BD12)</f>
        <v>#REF!</v>
      </c>
      <c r="BE13" s="297" t="e">
        <f>SUM(BE11:BE12)</f>
        <v>#REF!</v>
      </c>
      <c r="BF13" s="295" t="e">
        <f>BD13/BE13</f>
        <v>#REF!</v>
      </c>
      <c r="BG13" s="296" t="e">
        <f>IF(BC13="aut",$C$2,IF(BF13&gt;=BC13,$C$2,((BF13/BC13)*$C$2/2)))</f>
        <v>#REF!</v>
      </c>
      <c r="BI13" s="293" t="e">
        <f>BJ13/BK13</f>
        <v>#REF!</v>
      </c>
      <c r="BJ13" s="297" t="e">
        <f>SUM(BJ11:BJ12)</f>
        <v>#REF!</v>
      </c>
      <c r="BK13" s="297" t="e">
        <f>SUM(BK11:BK12)</f>
        <v>#REF!</v>
      </c>
      <c r="BL13" s="298">
        <f>IFERROR(BI13/BI13,0%)</f>
        <v>0</v>
      </c>
      <c r="BM13" s="299" t="e">
        <f>IF(#REF!="aut",($C$2/2),IF(#REF!&gt;=#REF!,$C$2/2,((#REF!/#REF!)*$C$2/2)))</f>
        <v>#REF!</v>
      </c>
      <c r="BN13" s="299" t="e">
        <f>BG13+BM13</f>
        <v>#REF!</v>
      </c>
      <c r="BP13" s="293" t="e">
        <f>BQ13/BR13</f>
        <v>#REF!</v>
      </c>
      <c r="BQ13" s="297" t="e">
        <f>SUM(BQ11:BQ12)</f>
        <v>#REF!</v>
      </c>
      <c r="BR13" s="297" t="e">
        <f>SUM(BR11:BR12)</f>
        <v>#REF!</v>
      </c>
      <c r="BS13" s="295" t="e">
        <f>BQ13/BR13</f>
        <v>#REF!</v>
      </c>
      <c r="BT13" s="296" t="e">
        <f>IF(BP13="aut",$C$2,IF(BS13&gt;=BP13,$C$2,((BS13/BP13)*$C$2)))</f>
        <v>#REF!</v>
      </c>
      <c r="BV13" s="293">
        <v>0.9</v>
      </c>
      <c r="BW13" s="297" t="e">
        <f>SUM(BW11:BW12)</f>
        <v>#REF!</v>
      </c>
      <c r="BX13" s="297" t="e">
        <f>SUM(BX11:BX12)</f>
        <v>#REF!</v>
      </c>
      <c r="BY13" s="295" t="e">
        <f>BW13/BX13</f>
        <v>#REF!</v>
      </c>
      <c r="BZ13" s="296" t="e">
        <f>IF(BV13="aut",$C$2,IF(BY13&gt;=BV13,$C$2,((BY13/BV13)*$C$2)))</f>
        <v>#REF!</v>
      </c>
      <c r="CB13" s="293">
        <v>0.43</v>
      </c>
      <c r="CC13" s="297" t="e">
        <f>SUM(CC11:CC12)</f>
        <v>#REF!</v>
      </c>
      <c r="CD13" s="297" t="e">
        <f>SUM(CD11:CD12)</f>
        <v>#REF!</v>
      </c>
      <c r="CE13" s="295" t="e">
        <f>CC13/CD13</f>
        <v>#REF!</v>
      </c>
      <c r="CF13" s="296" t="e">
        <f>IF(CB13="aut",$C$2,IF(CE13&gt;=CB13,$C$2,((CE13/CB13)*$C$2)))</f>
        <v>#REF!</v>
      </c>
      <c r="CH13" s="293">
        <v>0.6</v>
      </c>
      <c r="CI13" s="297" t="e">
        <f>SUM(CI11:CI12)</f>
        <v>#REF!</v>
      </c>
      <c r="CJ13" s="297" t="e">
        <f>SUM(CJ11:CJ12)</f>
        <v>#REF!</v>
      </c>
      <c r="CK13" s="295" t="e">
        <f>CI13/CJ13</f>
        <v>#REF!</v>
      </c>
      <c r="CL13" s="296" t="e">
        <f>IF(CH13="aut",$C$2,IF(CK13&gt;=CH13,$C$2,((CK13/CH13)*$C$2)))</f>
        <v>#REF!</v>
      </c>
      <c r="CN13" s="293">
        <v>0.8</v>
      </c>
      <c r="CO13" s="297">
        <f>SUM(CO11:CO12)</f>
        <v>2</v>
      </c>
      <c r="CP13" s="297">
        <f>SUM(CP11:CP12)</f>
        <v>2</v>
      </c>
      <c r="CQ13" s="295">
        <f>CO13/CP13</f>
        <v>1</v>
      </c>
      <c r="CR13" s="296">
        <f>IF(CN13="aut",$C$2,IF(CQ13&gt;=CN13,$C$2,((CQ13/CN13)*$C$2)))</f>
        <v>12.5</v>
      </c>
      <c r="CS13" s="300" t="e">
        <f>+CR13+CL13+CF13+BZ13+BT13+BN13+BA13+AU13</f>
        <v>#REF!</v>
      </c>
      <c r="CT13" s="405"/>
    </row>
    <row r="14" spans="1:98" outlineLevel="2" x14ac:dyDescent="0.25">
      <c r="A14" s="270" t="s">
        <v>221</v>
      </c>
      <c r="B14" s="271" t="s">
        <v>17</v>
      </c>
      <c r="C14" s="271" t="s">
        <v>7</v>
      </c>
      <c r="D14" s="406" t="s">
        <v>129</v>
      </c>
      <c r="E14" s="407">
        <v>406</v>
      </c>
      <c r="F14" s="407">
        <v>2059</v>
      </c>
      <c r="G14" s="272">
        <f t="shared" si="3"/>
        <v>0.19718309859154928</v>
      </c>
      <c r="H14" s="278">
        <v>6.25E-2</v>
      </c>
      <c r="I14" s="276"/>
      <c r="J14" s="277">
        <v>0.8</v>
      </c>
      <c r="K14" s="273">
        <v>1</v>
      </c>
      <c r="L14" s="273">
        <v>1</v>
      </c>
      <c r="M14" s="274">
        <f t="shared" si="0"/>
        <v>1</v>
      </c>
      <c r="N14" s="275">
        <f t="shared" si="4"/>
        <v>12.5</v>
      </c>
      <c r="O14" s="279"/>
      <c r="P14" s="280"/>
      <c r="Q14" s="281" t="e">
        <f>+N14+#REF!+#REF!+#REF!+#REF!+#REF!+#REF!+#REF!</f>
        <v>#REF!</v>
      </c>
      <c r="R14" s="282" t="e">
        <f t="shared" si="1"/>
        <v>#REF!</v>
      </c>
      <c r="S14" s="283">
        <v>90</v>
      </c>
      <c r="CT14" s="405"/>
    </row>
    <row r="15" spans="1:98" outlineLevel="2" x14ac:dyDescent="0.25">
      <c r="A15" s="270" t="s">
        <v>222</v>
      </c>
      <c r="B15" s="271" t="s">
        <v>18</v>
      </c>
      <c r="C15" s="271" t="s">
        <v>7</v>
      </c>
      <c r="D15" s="406" t="s">
        <v>129</v>
      </c>
      <c r="E15" s="407">
        <v>453</v>
      </c>
      <c r="F15" s="407">
        <v>2705</v>
      </c>
      <c r="G15" s="272">
        <f t="shared" si="3"/>
        <v>0.16746765249537893</v>
      </c>
      <c r="H15" s="278">
        <v>6.25E-2</v>
      </c>
      <c r="I15" s="276"/>
      <c r="J15" s="277">
        <v>0.8</v>
      </c>
      <c r="K15" s="273">
        <v>1</v>
      </c>
      <c r="L15" s="273">
        <v>1</v>
      </c>
      <c r="M15" s="274">
        <f t="shared" si="0"/>
        <v>1</v>
      </c>
      <c r="N15" s="275">
        <f t="shared" si="4"/>
        <v>12.5</v>
      </c>
      <c r="O15" s="279"/>
      <c r="P15" s="280"/>
      <c r="Q15" s="281" t="e">
        <f>+N15+#REF!+#REF!+#REF!+#REF!+#REF!+#REF!+#REF!</f>
        <v>#REF!</v>
      </c>
      <c r="R15" s="282" t="e">
        <f t="shared" si="1"/>
        <v>#REF!</v>
      </c>
      <c r="S15" s="283">
        <v>90</v>
      </c>
      <c r="CT15" s="405"/>
    </row>
    <row r="16" spans="1:98" outlineLevel="2" x14ac:dyDescent="0.25">
      <c r="A16" s="270" t="s">
        <v>223</v>
      </c>
      <c r="B16" s="271" t="s">
        <v>19</v>
      </c>
      <c r="C16" s="271" t="s">
        <v>7</v>
      </c>
      <c r="D16" s="406" t="s">
        <v>129</v>
      </c>
      <c r="E16" s="407">
        <v>262</v>
      </c>
      <c r="F16" s="407">
        <v>1276</v>
      </c>
      <c r="G16" s="272">
        <f t="shared" si="3"/>
        <v>0.20532915360501566</v>
      </c>
      <c r="H16" s="278">
        <v>6.25E-2</v>
      </c>
      <c r="I16" s="276"/>
      <c r="J16" s="277">
        <v>0.8</v>
      </c>
      <c r="K16" s="273">
        <v>1</v>
      </c>
      <c r="L16" s="273">
        <v>1</v>
      </c>
      <c r="M16" s="274">
        <f t="shared" si="0"/>
        <v>1</v>
      </c>
      <c r="N16" s="275">
        <f t="shared" si="4"/>
        <v>12.5</v>
      </c>
      <c r="O16" s="279"/>
      <c r="P16" s="280"/>
      <c r="Q16" s="281" t="e">
        <f>+N16+#REF!+#REF!+#REF!+#REF!+#REF!+#REF!+#REF!</f>
        <v>#REF!</v>
      </c>
      <c r="R16" s="282" t="e">
        <f t="shared" si="1"/>
        <v>#REF!</v>
      </c>
      <c r="S16" s="283">
        <v>90</v>
      </c>
      <c r="CT16" s="405"/>
    </row>
    <row r="17" spans="1:98" outlineLevel="2" x14ac:dyDescent="0.25">
      <c r="A17" s="270" t="s">
        <v>224</v>
      </c>
      <c r="B17" s="271" t="s">
        <v>20</v>
      </c>
      <c r="C17" s="271" t="s">
        <v>7</v>
      </c>
      <c r="D17" s="406" t="s">
        <v>129</v>
      </c>
      <c r="E17" s="407">
        <v>198</v>
      </c>
      <c r="F17" s="407">
        <v>729</v>
      </c>
      <c r="G17" s="272">
        <f t="shared" si="3"/>
        <v>0.27160493827160492</v>
      </c>
      <c r="H17" s="278">
        <v>6.25E-2</v>
      </c>
      <c r="I17" s="276"/>
      <c r="J17" s="277">
        <v>0.8</v>
      </c>
      <c r="K17" s="273">
        <v>1</v>
      </c>
      <c r="L17" s="273">
        <v>1</v>
      </c>
      <c r="M17" s="274">
        <f t="shared" si="0"/>
        <v>1</v>
      </c>
      <c r="N17" s="275">
        <f t="shared" si="4"/>
        <v>12.5</v>
      </c>
      <c r="O17" s="279"/>
      <c r="P17" s="280"/>
      <c r="Q17" s="281" t="e">
        <f>+N17+#REF!+#REF!+#REF!+#REF!+#REF!+#REF!+#REF!</f>
        <v>#REF!</v>
      </c>
      <c r="R17" s="282" t="e">
        <f t="shared" si="1"/>
        <v>#REF!</v>
      </c>
      <c r="S17" s="283">
        <v>90</v>
      </c>
      <c r="CT17" s="405"/>
    </row>
    <row r="18" spans="1:98" outlineLevel="2" x14ac:dyDescent="0.25">
      <c r="A18" s="270" t="s">
        <v>225</v>
      </c>
      <c r="B18" s="271" t="s">
        <v>21</v>
      </c>
      <c r="C18" s="271" t="s">
        <v>7</v>
      </c>
      <c r="D18" s="406" t="s">
        <v>129</v>
      </c>
      <c r="E18" s="407">
        <v>81</v>
      </c>
      <c r="F18" s="407">
        <v>671</v>
      </c>
      <c r="G18" s="272">
        <f t="shared" si="3"/>
        <v>0.12071535022354694</v>
      </c>
      <c r="H18" s="278">
        <v>6.25E-2</v>
      </c>
      <c r="I18" s="276"/>
      <c r="J18" s="277">
        <v>0.8</v>
      </c>
      <c r="K18" s="273">
        <v>1</v>
      </c>
      <c r="L18" s="273">
        <v>1</v>
      </c>
      <c r="M18" s="274">
        <f t="shared" si="0"/>
        <v>1</v>
      </c>
      <c r="N18" s="275">
        <f t="shared" si="4"/>
        <v>12.5</v>
      </c>
      <c r="O18" s="279"/>
      <c r="P18" s="280"/>
      <c r="Q18" s="281" t="e">
        <f>+N18+#REF!+#REF!+#REF!+#REF!+#REF!+#REF!+#REF!</f>
        <v>#REF!</v>
      </c>
      <c r="R18" s="282" t="e">
        <f t="shared" si="1"/>
        <v>#REF!</v>
      </c>
      <c r="S18" s="283">
        <v>90</v>
      </c>
      <c r="CT18" s="405"/>
    </row>
    <row r="19" spans="1:98" outlineLevel="2" x14ac:dyDescent="0.25">
      <c r="A19" s="270" t="s">
        <v>226</v>
      </c>
      <c r="B19" s="271" t="s">
        <v>22</v>
      </c>
      <c r="C19" s="271" t="s">
        <v>7</v>
      </c>
      <c r="D19" s="406" t="s">
        <v>129</v>
      </c>
      <c r="E19" s="407">
        <v>172</v>
      </c>
      <c r="F19" s="407">
        <v>882</v>
      </c>
      <c r="G19" s="272">
        <f t="shared" si="3"/>
        <v>0.19501133786848074</v>
      </c>
      <c r="H19" s="278">
        <v>6.25E-2</v>
      </c>
      <c r="I19" s="276"/>
      <c r="J19" s="277">
        <v>0.8</v>
      </c>
      <c r="K19" s="273">
        <v>1</v>
      </c>
      <c r="L19" s="273">
        <v>1</v>
      </c>
      <c r="M19" s="274">
        <f t="shared" si="0"/>
        <v>1</v>
      </c>
      <c r="N19" s="275">
        <f t="shared" si="4"/>
        <v>12.5</v>
      </c>
      <c r="O19" s="279"/>
      <c r="P19" s="280"/>
      <c r="Q19" s="281" t="e">
        <f>+N19+#REF!+#REF!+#REF!+#REF!+#REF!+#REF!+#REF!</f>
        <v>#REF!</v>
      </c>
      <c r="R19" s="282" t="e">
        <f t="shared" si="1"/>
        <v>#REF!</v>
      </c>
      <c r="S19" s="283">
        <v>90</v>
      </c>
      <c r="CT19" s="405"/>
    </row>
    <row r="20" spans="1:98" outlineLevel="2" x14ac:dyDescent="0.25">
      <c r="A20" s="270" t="s">
        <v>210</v>
      </c>
      <c r="B20" s="271" t="s">
        <v>23</v>
      </c>
      <c r="C20" s="271" t="s">
        <v>7</v>
      </c>
      <c r="D20" s="406" t="s">
        <v>129</v>
      </c>
      <c r="E20" s="407">
        <v>163</v>
      </c>
      <c r="F20" s="407">
        <v>1378</v>
      </c>
      <c r="G20" s="272">
        <f t="shared" si="3"/>
        <v>0.11828737300435414</v>
      </c>
      <c r="H20" s="278">
        <v>6.25E-2</v>
      </c>
      <c r="I20" s="276"/>
      <c r="J20" s="277">
        <v>0.8</v>
      </c>
      <c r="K20" s="273">
        <v>1</v>
      </c>
      <c r="L20" s="273">
        <v>1</v>
      </c>
      <c r="M20" s="274">
        <f t="shared" si="0"/>
        <v>1</v>
      </c>
      <c r="N20" s="275">
        <f t="shared" si="4"/>
        <v>12.5</v>
      </c>
      <c r="O20" s="279"/>
      <c r="P20" s="280"/>
      <c r="Q20" s="281" t="e">
        <f>+N20+#REF!+#REF!+#REF!+#REF!+#REF!+#REF!+#REF!</f>
        <v>#REF!</v>
      </c>
      <c r="R20" s="282" t="e">
        <f t="shared" si="1"/>
        <v>#REF!</v>
      </c>
      <c r="S20" s="283">
        <v>90</v>
      </c>
      <c r="CT20" s="405"/>
    </row>
    <row r="21" spans="1:98" outlineLevel="1" x14ac:dyDescent="0.25">
      <c r="A21" s="270"/>
      <c r="B21" s="361"/>
      <c r="C21" s="362" t="s">
        <v>7</v>
      </c>
      <c r="D21" s="365"/>
      <c r="E21" s="363"/>
      <c r="F21" s="363"/>
      <c r="G21" s="364"/>
      <c r="H21" s="307"/>
      <c r="I21" s="306"/>
      <c r="J21" s="305" t="s">
        <v>7</v>
      </c>
      <c r="K21" s="303">
        <f>SUM(K4:K20)</f>
        <v>17</v>
      </c>
      <c r="L21" s="303">
        <f>SUM(L4:L20)</f>
        <v>17</v>
      </c>
      <c r="M21" s="304">
        <f>IFERROR(K21/L21,"")</f>
        <v>1</v>
      </c>
      <c r="N21" s="307"/>
      <c r="O21" s="307"/>
      <c r="P21" s="280"/>
      <c r="Q21" s="308"/>
      <c r="R21" s="309"/>
      <c r="S21" s="283">
        <v>90</v>
      </c>
    </row>
    <row r="22" spans="1:98" outlineLevel="2" x14ac:dyDescent="0.25">
      <c r="A22" s="270" t="s">
        <v>234</v>
      </c>
      <c r="B22" s="271" t="s">
        <v>24</v>
      </c>
      <c r="C22" s="271" t="s">
        <v>25</v>
      </c>
      <c r="D22" s="406" t="s">
        <v>129</v>
      </c>
      <c r="E22" s="407">
        <v>245</v>
      </c>
      <c r="F22" s="407">
        <v>907</v>
      </c>
      <c r="G22" s="272">
        <f>IF(F22=0,100%,E22/F22)</f>
        <v>0.27012127894156562</v>
      </c>
      <c r="H22" s="278">
        <v>6.25E-2</v>
      </c>
      <c r="I22" s="276"/>
      <c r="J22" s="277">
        <v>0.8</v>
      </c>
      <c r="K22" s="273">
        <v>1</v>
      </c>
      <c r="L22" s="273">
        <v>1</v>
      </c>
      <c r="M22" s="274">
        <f t="shared" ref="M22:M28" si="7">IF(J22="aut",100%,IF(L22=0,100%,K22/L22))</f>
        <v>1</v>
      </c>
      <c r="N22" s="275">
        <f t="shared" si="4"/>
        <v>12.5</v>
      </c>
      <c r="O22" s="279"/>
      <c r="P22" s="280"/>
      <c r="Q22" s="281" t="e">
        <f>+N22+#REF!+#REF!+#REF!+#REF!+#REF!+#REF!+#REF!</f>
        <v>#REF!</v>
      </c>
      <c r="R22" s="282" t="e">
        <f t="shared" ref="R22:R28" si="8">IF(Q22&gt;=90,"Tramo 1: 100% C. Variable",IF(AND(Q22&gt;=75,Q22&lt;90),"Tramo 2: 50% C. Variable",IF(Q22&lt;75,"Tramo 3: Sin Asig. C. Variable")))</f>
        <v>#REF!</v>
      </c>
      <c r="S22" s="283">
        <v>90</v>
      </c>
      <c r="CT22" s="405"/>
    </row>
    <row r="23" spans="1:98" outlineLevel="2" x14ac:dyDescent="0.25">
      <c r="A23" s="270" t="s">
        <v>235</v>
      </c>
      <c r="B23" s="271" t="s">
        <v>26</v>
      </c>
      <c r="C23" s="271" t="s">
        <v>25</v>
      </c>
      <c r="D23" s="406" t="s">
        <v>129</v>
      </c>
      <c r="E23" s="407">
        <v>91</v>
      </c>
      <c r="F23" s="407">
        <v>466</v>
      </c>
      <c r="G23" s="272">
        <f t="shared" ref="G23:G28" si="9">IF(F23=0,100%,E23/F23)</f>
        <v>0.19527896995708155</v>
      </c>
      <c r="H23" s="278">
        <v>6.25E-2</v>
      </c>
      <c r="I23" s="276"/>
      <c r="J23" s="277">
        <v>0.8</v>
      </c>
      <c r="K23" s="273">
        <v>1</v>
      </c>
      <c r="L23" s="273">
        <v>1</v>
      </c>
      <c r="M23" s="274">
        <f t="shared" si="7"/>
        <v>1</v>
      </c>
      <c r="N23" s="275">
        <f t="shared" si="4"/>
        <v>12.5</v>
      </c>
      <c r="O23" s="279"/>
      <c r="P23" s="280"/>
      <c r="Q23" s="281" t="e">
        <f>+N23+#REF!+#REF!+#REF!+#REF!+#REF!+#REF!+#REF!</f>
        <v>#REF!</v>
      </c>
      <c r="R23" s="282" t="e">
        <f t="shared" si="8"/>
        <v>#REF!</v>
      </c>
      <c r="S23" s="283">
        <v>90</v>
      </c>
      <c r="CT23" s="405"/>
    </row>
    <row r="24" spans="1:98" outlineLevel="2" x14ac:dyDescent="0.25">
      <c r="A24" s="270" t="s">
        <v>236</v>
      </c>
      <c r="B24" s="271" t="s">
        <v>27</v>
      </c>
      <c r="C24" s="271" t="s">
        <v>25</v>
      </c>
      <c r="D24" s="406" t="s">
        <v>129</v>
      </c>
      <c r="E24" s="407">
        <v>285</v>
      </c>
      <c r="F24" s="407">
        <v>933</v>
      </c>
      <c r="G24" s="272">
        <f t="shared" si="9"/>
        <v>0.30546623794212219</v>
      </c>
      <c r="H24" s="278">
        <v>6.25E-2</v>
      </c>
      <c r="I24" s="276"/>
      <c r="J24" s="277">
        <v>0.8</v>
      </c>
      <c r="K24" s="273">
        <v>1</v>
      </c>
      <c r="L24" s="273">
        <v>1</v>
      </c>
      <c r="M24" s="274">
        <f t="shared" si="7"/>
        <v>1</v>
      </c>
      <c r="N24" s="275">
        <f t="shared" si="4"/>
        <v>12.5</v>
      </c>
      <c r="O24" s="279"/>
      <c r="P24" s="280"/>
      <c r="Q24" s="281" t="e">
        <f>+N24+#REF!+#REF!+#REF!+#REF!+#REF!+#REF!+#REF!</f>
        <v>#REF!</v>
      </c>
      <c r="R24" s="282" t="e">
        <f t="shared" si="8"/>
        <v>#REF!</v>
      </c>
      <c r="S24" s="283">
        <v>90</v>
      </c>
      <c r="CT24" s="405"/>
    </row>
    <row r="25" spans="1:98" outlineLevel="2" x14ac:dyDescent="0.25">
      <c r="A25" s="270" t="s">
        <v>237</v>
      </c>
      <c r="B25" s="271" t="s">
        <v>28</v>
      </c>
      <c r="C25" s="271" t="s">
        <v>25</v>
      </c>
      <c r="D25" s="406" t="s">
        <v>129</v>
      </c>
      <c r="E25" s="407">
        <v>312</v>
      </c>
      <c r="F25" s="407">
        <v>848</v>
      </c>
      <c r="G25" s="272">
        <f t="shared" si="9"/>
        <v>0.36792452830188677</v>
      </c>
      <c r="H25" s="278">
        <v>6.25E-2</v>
      </c>
      <c r="I25" s="276"/>
      <c r="J25" s="277">
        <v>0.8</v>
      </c>
      <c r="K25" s="273">
        <v>1</v>
      </c>
      <c r="L25" s="273">
        <v>1</v>
      </c>
      <c r="M25" s="274">
        <f t="shared" si="7"/>
        <v>1</v>
      </c>
      <c r="N25" s="275">
        <f t="shared" si="4"/>
        <v>12.5</v>
      </c>
      <c r="O25" s="279"/>
      <c r="P25" s="280"/>
      <c r="Q25" s="281" t="e">
        <f>+N25+#REF!+#REF!+#REF!+#REF!+#REF!+#REF!+#REF!</f>
        <v>#REF!</v>
      </c>
      <c r="R25" s="282" t="e">
        <f t="shared" si="8"/>
        <v>#REF!</v>
      </c>
      <c r="S25" s="283">
        <v>90</v>
      </c>
      <c r="CT25" s="405"/>
    </row>
    <row r="26" spans="1:98" outlineLevel="2" x14ac:dyDescent="0.25">
      <c r="A26" s="270"/>
      <c r="B26" s="271" t="s">
        <v>29</v>
      </c>
      <c r="C26" s="271" t="s">
        <v>25</v>
      </c>
      <c r="D26" s="406" t="s">
        <v>329</v>
      </c>
      <c r="E26" s="407" t="s">
        <v>163</v>
      </c>
      <c r="F26" s="407" t="s">
        <v>163</v>
      </c>
      <c r="G26" s="272" t="s">
        <v>163</v>
      </c>
      <c r="H26" s="278">
        <v>6.25E-2</v>
      </c>
      <c r="I26" s="276"/>
      <c r="J26" s="277">
        <v>0.8</v>
      </c>
      <c r="K26" s="273">
        <v>1</v>
      </c>
      <c r="L26" s="273">
        <v>1</v>
      </c>
      <c r="M26" s="274">
        <f t="shared" si="7"/>
        <v>1</v>
      </c>
      <c r="N26" s="275">
        <f t="shared" si="4"/>
        <v>12.5</v>
      </c>
      <c r="O26" s="279"/>
      <c r="P26" s="280"/>
      <c r="Q26" s="281" t="e">
        <f>+N26+#REF!+#REF!+#REF!+#REF!+#REF!+#REF!+#REF!</f>
        <v>#REF!</v>
      </c>
      <c r="R26" s="282" t="e">
        <f t="shared" si="8"/>
        <v>#REF!</v>
      </c>
      <c r="S26" s="283">
        <v>90</v>
      </c>
      <c r="CT26" s="405"/>
    </row>
    <row r="27" spans="1:98" outlineLevel="2" x14ac:dyDescent="0.25">
      <c r="A27" s="270" t="s">
        <v>238</v>
      </c>
      <c r="B27" s="271" t="s">
        <v>30</v>
      </c>
      <c r="C27" s="271" t="s">
        <v>25</v>
      </c>
      <c r="D27" s="406" t="s">
        <v>129</v>
      </c>
      <c r="E27" s="407">
        <v>197</v>
      </c>
      <c r="F27" s="407">
        <v>970</v>
      </c>
      <c r="G27" s="272">
        <f t="shared" si="9"/>
        <v>0.20309278350515464</v>
      </c>
      <c r="H27" s="278">
        <v>6.25E-2</v>
      </c>
      <c r="I27" s="276"/>
      <c r="J27" s="277">
        <v>0.8</v>
      </c>
      <c r="K27" s="273">
        <v>1</v>
      </c>
      <c r="L27" s="273">
        <v>1</v>
      </c>
      <c r="M27" s="274">
        <f t="shared" si="7"/>
        <v>1</v>
      </c>
      <c r="N27" s="275">
        <f t="shared" si="4"/>
        <v>12.5</v>
      </c>
      <c r="O27" s="279"/>
      <c r="P27" s="280"/>
      <c r="Q27" s="281" t="e">
        <f>+N27+#REF!+#REF!+#REF!+#REF!+#REF!+#REF!+#REF!</f>
        <v>#REF!</v>
      </c>
      <c r="R27" s="282" t="e">
        <f t="shared" si="8"/>
        <v>#REF!</v>
      </c>
      <c r="S27" s="283">
        <v>90</v>
      </c>
      <c r="CS27" t="s">
        <v>330</v>
      </c>
      <c r="CT27" s="405"/>
    </row>
    <row r="28" spans="1:98" outlineLevel="2" x14ac:dyDescent="0.25">
      <c r="A28" s="270" t="s">
        <v>239</v>
      </c>
      <c r="B28" s="271" t="s">
        <v>31</v>
      </c>
      <c r="C28" s="271" t="s">
        <v>25</v>
      </c>
      <c r="D28" s="406" t="s">
        <v>129</v>
      </c>
      <c r="E28" s="407">
        <v>147</v>
      </c>
      <c r="F28" s="407">
        <v>930</v>
      </c>
      <c r="G28" s="272">
        <f t="shared" si="9"/>
        <v>0.15806451612903225</v>
      </c>
      <c r="H28" s="278">
        <v>6.25E-2</v>
      </c>
      <c r="I28" s="276"/>
      <c r="J28" s="277">
        <v>0.8</v>
      </c>
      <c r="K28" s="273">
        <v>1</v>
      </c>
      <c r="L28" s="273">
        <v>1</v>
      </c>
      <c r="M28" s="274">
        <f t="shared" si="7"/>
        <v>1</v>
      </c>
      <c r="N28" s="275">
        <f t="shared" si="4"/>
        <v>12.5</v>
      </c>
      <c r="O28" s="279"/>
      <c r="P28" s="280"/>
      <c r="Q28" s="281" t="e">
        <f>+N28+#REF!+#REF!+#REF!+#REF!+#REF!+#REF!+#REF!</f>
        <v>#REF!</v>
      </c>
      <c r="R28" s="282" t="e">
        <f t="shared" si="8"/>
        <v>#REF!</v>
      </c>
      <c r="S28" s="283">
        <v>90</v>
      </c>
      <c r="CS28" t="s">
        <v>331</v>
      </c>
      <c r="CT28" s="405"/>
    </row>
    <row r="29" spans="1:98" outlineLevel="1" x14ac:dyDescent="0.25">
      <c r="A29" s="270"/>
      <c r="B29" s="361"/>
      <c r="C29" s="362" t="s">
        <v>25</v>
      </c>
      <c r="D29" s="365"/>
      <c r="E29" s="363"/>
      <c r="F29" s="363"/>
      <c r="G29" s="364"/>
      <c r="H29" s="307"/>
      <c r="I29" s="306"/>
      <c r="J29" s="305" t="s">
        <v>25</v>
      </c>
      <c r="K29" s="303">
        <f>SUM(K22:K28)</f>
        <v>7</v>
      </c>
      <c r="L29" s="303">
        <f>SUM(L22:L28)</f>
        <v>7</v>
      </c>
      <c r="M29" s="304">
        <f>IFERROR(K29/L29,"")</f>
        <v>1</v>
      </c>
      <c r="N29" s="307"/>
      <c r="O29" s="307"/>
      <c r="P29" s="280"/>
      <c r="Q29" s="308"/>
      <c r="R29" s="309"/>
      <c r="S29" s="283">
        <v>90</v>
      </c>
    </row>
    <row r="30" spans="1:98" outlineLevel="2" x14ac:dyDescent="0.25">
      <c r="A30" s="270" t="s">
        <v>227</v>
      </c>
      <c r="B30" s="271" t="s">
        <v>32</v>
      </c>
      <c r="C30" s="271" t="s">
        <v>33</v>
      </c>
      <c r="D30" s="406" t="s">
        <v>129</v>
      </c>
      <c r="E30" s="407">
        <v>526</v>
      </c>
      <c r="F30" s="407">
        <v>3495</v>
      </c>
      <c r="G30" s="272">
        <f>IF(F30=0,100%,E30/F30)</f>
        <v>0.15050071530758227</v>
      </c>
      <c r="H30" s="278">
        <v>6.25E-2</v>
      </c>
      <c r="I30" s="276"/>
      <c r="J30" s="277">
        <v>0.8</v>
      </c>
      <c r="K30" s="273">
        <v>1</v>
      </c>
      <c r="L30" s="273">
        <v>1</v>
      </c>
      <c r="M30" s="274">
        <f t="shared" ref="M30:M36" si="10">IF(J30="aut",100%,IF(L30=0,100%,K30/L30))</f>
        <v>1</v>
      </c>
      <c r="N30" s="275">
        <f t="shared" si="4"/>
        <v>12.5</v>
      </c>
      <c r="O30" s="279"/>
      <c r="P30" s="280"/>
      <c r="Q30" s="281" t="e">
        <f>+N30+#REF!+#REF!+#REF!+#REF!+#REF!+#REF!+#REF!</f>
        <v>#REF!</v>
      </c>
      <c r="R30" s="282" t="e">
        <f t="shared" ref="R30:R36" si="11">IF(Q30&gt;=90,"Tramo 1: 100% C. Variable",IF(AND(Q30&gt;=75,Q30&lt;90),"Tramo 2: 50% C. Variable",IF(Q30&lt;75,"Tramo 3: Sin Asig. C. Variable")))</f>
        <v>#REF!</v>
      </c>
      <c r="S30" s="283">
        <v>90</v>
      </c>
      <c r="AP30" s="271" t="s">
        <v>32</v>
      </c>
      <c r="AQ30" s="284" t="e">
        <f>#REF!</f>
        <v>#REF!</v>
      </c>
      <c r="AR30" s="301" t="e">
        <f>#REF!</f>
        <v>#REF!</v>
      </c>
      <c r="AS30" s="301" t="e">
        <f>#REF!</f>
        <v>#REF!</v>
      </c>
      <c r="AT30" s="284" t="e">
        <f>#REF!</f>
        <v>#REF!</v>
      </c>
      <c r="AU30" s="285" t="e">
        <f>#REF!</f>
        <v>#REF!</v>
      </c>
      <c r="AV30" s="271" t="s">
        <v>32</v>
      </c>
      <c r="AW30" s="284" t="e">
        <f>#REF!</f>
        <v>#REF!</v>
      </c>
      <c r="AX30" s="286" t="e">
        <f>#REF!</f>
        <v>#REF!</v>
      </c>
      <c r="AY30" s="286" t="e">
        <f>#REF!</f>
        <v>#REF!</v>
      </c>
      <c r="AZ30" s="284" t="e">
        <f>#REF!</f>
        <v>#REF!</v>
      </c>
      <c r="BA30" s="285" t="e">
        <f>#REF!</f>
        <v>#REF!</v>
      </c>
      <c r="BB30" s="271" t="s">
        <v>32</v>
      </c>
      <c r="BC30" s="289" t="e">
        <f>#REF!</f>
        <v>#REF!</v>
      </c>
      <c r="BD30" s="286" t="e">
        <f>#REF!</f>
        <v>#REF!</v>
      </c>
      <c r="BE30" s="286" t="e">
        <f>#REF!</f>
        <v>#REF!</v>
      </c>
      <c r="BF30" s="284" t="e">
        <f>#REF!</f>
        <v>#REF!</v>
      </c>
      <c r="BG30" s="285" t="e">
        <f>#REF!</f>
        <v>#REF!</v>
      </c>
      <c r="BH30" s="271" t="s">
        <v>32</v>
      </c>
      <c r="BI30" s="289" t="e">
        <f>#REF!</f>
        <v>#REF!</v>
      </c>
      <c r="BJ30" s="286" t="e">
        <f>#REF!</f>
        <v>#REF!</v>
      </c>
      <c r="BK30" s="286" t="e">
        <f>#REF!</f>
        <v>#REF!</v>
      </c>
      <c r="BL30" s="284" t="e">
        <f>#REF!</f>
        <v>#REF!</v>
      </c>
      <c r="BM30" s="285" t="e">
        <f>#REF!</f>
        <v>#REF!</v>
      </c>
      <c r="BN30" s="288" t="e">
        <f>#REF!</f>
        <v>#REF!</v>
      </c>
      <c r="BO30" s="271" t="s">
        <v>32</v>
      </c>
      <c r="BP30" s="289" t="e">
        <f>#REF!</f>
        <v>#REF!</v>
      </c>
      <c r="BQ30" s="286" t="e">
        <f>#REF!</f>
        <v>#REF!</v>
      </c>
      <c r="BR30" s="286" t="e">
        <f>#REF!</f>
        <v>#REF!</v>
      </c>
      <c r="BS30" s="284" t="e">
        <f>#REF!</f>
        <v>#REF!</v>
      </c>
      <c r="BT30" s="285" t="e">
        <f>#REF!</f>
        <v>#REF!</v>
      </c>
      <c r="BU30" s="271" t="s">
        <v>32</v>
      </c>
      <c r="BV30" s="289" t="e">
        <f>#REF!</f>
        <v>#REF!</v>
      </c>
      <c r="BW30" s="286" t="e">
        <f>#REF!</f>
        <v>#REF!</v>
      </c>
      <c r="BX30" s="286" t="e">
        <f>#REF!</f>
        <v>#REF!</v>
      </c>
      <c r="BY30" s="284" t="e">
        <f>#REF!</f>
        <v>#REF!</v>
      </c>
      <c r="BZ30" s="285" t="e">
        <f>#REF!</f>
        <v>#REF!</v>
      </c>
      <c r="CA30" s="271" t="s">
        <v>32</v>
      </c>
      <c r="CB30" s="289" t="e">
        <f>#REF!</f>
        <v>#REF!</v>
      </c>
      <c r="CC30" s="286" t="e">
        <f>#REF!</f>
        <v>#REF!</v>
      </c>
      <c r="CD30" s="286" t="e">
        <f>#REF!</f>
        <v>#REF!</v>
      </c>
      <c r="CE30" s="284" t="e">
        <f>#REF!</f>
        <v>#REF!</v>
      </c>
      <c r="CF30" s="285" t="e">
        <f>#REF!</f>
        <v>#REF!</v>
      </c>
      <c r="CG30" s="271" t="s">
        <v>32</v>
      </c>
      <c r="CH30" s="289" t="e">
        <f>#REF!</f>
        <v>#REF!</v>
      </c>
      <c r="CI30" s="286" t="e">
        <f>#REF!</f>
        <v>#REF!</v>
      </c>
      <c r="CJ30" s="286" t="e">
        <f>#REF!</f>
        <v>#REF!</v>
      </c>
      <c r="CK30" s="284" t="e">
        <f>#REF!</f>
        <v>#REF!</v>
      </c>
      <c r="CL30" s="285" t="e">
        <f>#REF!</f>
        <v>#REF!</v>
      </c>
      <c r="CM30" s="271" t="s">
        <v>32</v>
      </c>
      <c r="CN30" s="289">
        <f t="shared" ref="CN30:CR31" si="12">J30</f>
        <v>0.8</v>
      </c>
      <c r="CO30" s="286">
        <f t="shared" si="12"/>
        <v>1</v>
      </c>
      <c r="CP30" s="286">
        <f t="shared" si="12"/>
        <v>1</v>
      </c>
      <c r="CQ30" s="284">
        <f t="shared" si="12"/>
        <v>1</v>
      </c>
      <c r="CR30" s="285">
        <f t="shared" si="12"/>
        <v>12.5</v>
      </c>
      <c r="CS30" s="310" t="e">
        <f t="shared" ref="CS30:CS35" si="13">+CR30+CL30+CF30+BZ30+BT30+BN30+BA30+AU30</f>
        <v>#REF!</v>
      </c>
    </row>
    <row r="31" spans="1:98" outlineLevel="2" x14ac:dyDescent="0.25">
      <c r="A31" s="270" t="s">
        <v>228</v>
      </c>
      <c r="B31" s="271" t="s">
        <v>34</v>
      </c>
      <c r="C31" s="271" t="s">
        <v>33</v>
      </c>
      <c r="D31" s="406" t="s">
        <v>129</v>
      </c>
      <c r="E31" s="407">
        <v>154</v>
      </c>
      <c r="F31" s="407">
        <v>628</v>
      </c>
      <c r="G31" s="272">
        <f t="shared" ref="G31:G36" si="14">IF(F31=0,100%,E31/F31)</f>
        <v>0.24522292993630573</v>
      </c>
      <c r="H31" s="278">
        <v>6.25E-2</v>
      </c>
      <c r="I31" s="276"/>
      <c r="J31" s="277">
        <v>0.8</v>
      </c>
      <c r="K31" s="273">
        <v>1</v>
      </c>
      <c r="L31" s="273">
        <v>1</v>
      </c>
      <c r="M31" s="274">
        <f t="shared" si="10"/>
        <v>1</v>
      </c>
      <c r="N31" s="275">
        <f t="shared" si="4"/>
        <v>12.5</v>
      </c>
      <c r="O31" s="279"/>
      <c r="P31" s="280"/>
      <c r="Q31" s="281" t="e">
        <f>+N31+#REF!+#REF!+#REF!+#REF!+#REF!+#REF!+#REF!</f>
        <v>#REF!</v>
      </c>
      <c r="R31" s="282" t="e">
        <f t="shared" si="11"/>
        <v>#REF!</v>
      </c>
      <c r="S31" s="283">
        <v>90</v>
      </c>
      <c r="AP31" s="271" t="s">
        <v>34</v>
      </c>
      <c r="AQ31" s="284" t="e">
        <f>#REF!</f>
        <v>#REF!</v>
      </c>
      <c r="AR31" s="301" t="e">
        <f>#REF!</f>
        <v>#REF!</v>
      </c>
      <c r="AS31" s="301" t="e">
        <f>#REF!</f>
        <v>#REF!</v>
      </c>
      <c r="AT31" s="284" t="e">
        <f>#REF!</f>
        <v>#REF!</v>
      </c>
      <c r="AU31" s="285" t="e">
        <f>#REF!</f>
        <v>#REF!</v>
      </c>
      <c r="AV31" s="271" t="s">
        <v>34</v>
      </c>
      <c r="AW31" s="284" t="e">
        <f>#REF!</f>
        <v>#REF!</v>
      </c>
      <c r="AX31" s="286" t="e">
        <f>#REF!</f>
        <v>#REF!</v>
      </c>
      <c r="AY31" s="286" t="e">
        <f>#REF!</f>
        <v>#REF!</v>
      </c>
      <c r="AZ31" s="284" t="e">
        <f>#REF!</f>
        <v>#REF!</v>
      </c>
      <c r="BA31" s="285" t="e">
        <f>#REF!</f>
        <v>#REF!</v>
      </c>
      <c r="BB31" s="271" t="s">
        <v>34</v>
      </c>
      <c r="BC31" s="289" t="e">
        <f>#REF!</f>
        <v>#REF!</v>
      </c>
      <c r="BD31" s="286" t="e">
        <f>#REF!</f>
        <v>#REF!</v>
      </c>
      <c r="BE31" s="286" t="e">
        <f>#REF!</f>
        <v>#REF!</v>
      </c>
      <c r="BF31" s="284" t="e">
        <f>#REF!</f>
        <v>#REF!</v>
      </c>
      <c r="BG31" s="285" t="e">
        <f>#REF!</f>
        <v>#REF!</v>
      </c>
      <c r="BH31" s="271" t="s">
        <v>34</v>
      </c>
      <c r="BI31" s="289" t="e">
        <f>#REF!</f>
        <v>#REF!</v>
      </c>
      <c r="BJ31" s="286" t="e">
        <f>#REF!</f>
        <v>#REF!</v>
      </c>
      <c r="BK31" s="286" t="e">
        <f>#REF!</f>
        <v>#REF!</v>
      </c>
      <c r="BL31" s="284" t="e">
        <f>#REF!</f>
        <v>#REF!</v>
      </c>
      <c r="BM31" s="285" t="e">
        <f>#REF!</f>
        <v>#REF!</v>
      </c>
      <c r="BN31" s="288" t="e">
        <f>#REF!</f>
        <v>#REF!</v>
      </c>
      <c r="BO31" s="271" t="s">
        <v>34</v>
      </c>
      <c r="BP31" s="289" t="e">
        <f>#REF!</f>
        <v>#REF!</v>
      </c>
      <c r="BQ31" s="286" t="e">
        <f>#REF!</f>
        <v>#REF!</v>
      </c>
      <c r="BR31" s="286" t="e">
        <f>#REF!</f>
        <v>#REF!</v>
      </c>
      <c r="BS31" s="284" t="e">
        <f>#REF!</f>
        <v>#REF!</v>
      </c>
      <c r="BT31" s="285" t="e">
        <f>#REF!</f>
        <v>#REF!</v>
      </c>
      <c r="BU31" s="271" t="s">
        <v>34</v>
      </c>
      <c r="BV31" s="289" t="e">
        <f>#REF!</f>
        <v>#REF!</v>
      </c>
      <c r="BW31" s="286" t="e">
        <f>#REF!</f>
        <v>#REF!</v>
      </c>
      <c r="BX31" s="286" t="e">
        <f>#REF!</f>
        <v>#REF!</v>
      </c>
      <c r="BY31" s="284" t="e">
        <f>#REF!</f>
        <v>#REF!</v>
      </c>
      <c r="BZ31" s="285" t="e">
        <f>#REF!</f>
        <v>#REF!</v>
      </c>
      <c r="CA31" s="271" t="s">
        <v>34</v>
      </c>
      <c r="CB31" s="289" t="e">
        <f>#REF!</f>
        <v>#REF!</v>
      </c>
      <c r="CC31" s="286" t="e">
        <f>#REF!</f>
        <v>#REF!</v>
      </c>
      <c r="CD31" s="286" t="e">
        <f>#REF!</f>
        <v>#REF!</v>
      </c>
      <c r="CE31" s="284" t="e">
        <f>#REF!</f>
        <v>#REF!</v>
      </c>
      <c r="CF31" s="285" t="e">
        <f>#REF!</f>
        <v>#REF!</v>
      </c>
      <c r="CG31" s="271" t="s">
        <v>34</v>
      </c>
      <c r="CH31" s="289" t="e">
        <f>#REF!</f>
        <v>#REF!</v>
      </c>
      <c r="CI31" s="286" t="e">
        <f>#REF!</f>
        <v>#REF!</v>
      </c>
      <c r="CJ31" s="286" t="e">
        <f>#REF!</f>
        <v>#REF!</v>
      </c>
      <c r="CK31" s="284" t="e">
        <f>#REF!</f>
        <v>#REF!</v>
      </c>
      <c r="CL31" s="285" t="e">
        <f>#REF!</f>
        <v>#REF!</v>
      </c>
      <c r="CM31" s="271" t="s">
        <v>34</v>
      </c>
      <c r="CN31" s="289">
        <f t="shared" si="12"/>
        <v>0.8</v>
      </c>
      <c r="CO31" s="286">
        <f t="shared" si="12"/>
        <v>1</v>
      </c>
      <c r="CP31" s="286">
        <f t="shared" si="12"/>
        <v>1</v>
      </c>
      <c r="CQ31" s="284">
        <f t="shared" si="12"/>
        <v>1</v>
      </c>
      <c r="CR31" s="285">
        <f t="shared" si="12"/>
        <v>12.5</v>
      </c>
      <c r="CS31" s="310" t="e">
        <f t="shared" si="13"/>
        <v>#REF!</v>
      </c>
    </row>
    <row r="32" spans="1:98" outlineLevel="2" x14ac:dyDescent="0.25">
      <c r="A32" s="270" t="s">
        <v>231</v>
      </c>
      <c r="B32" s="271" t="s">
        <v>35</v>
      </c>
      <c r="C32" s="271" t="s">
        <v>33</v>
      </c>
      <c r="D32" s="406" t="s">
        <v>129</v>
      </c>
      <c r="E32" s="407">
        <v>252</v>
      </c>
      <c r="F32" s="407">
        <v>1823</v>
      </c>
      <c r="G32" s="272">
        <f t="shared" si="14"/>
        <v>0.13823368074602305</v>
      </c>
      <c r="H32" s="278">
        <v>6.25E-2</v>
      </c>
      <c r="I32" s="276"/>
      <c r="J32" s="277">
        <v>0.8</v>
      </c>
      <c r="K32" s="273">
        <v>1</v>
      </c>
      <c r="L32" s="273">
        <v>1</v>
      </c>
      <c r="M32" s="274">
        <f t="shared" si="10"/>
        <v>1</v>
      </c>
      <c r="N32" s="275">
        <f t="shared" si="4"/>
        <v>12.5</v>
      </c>
      <c r="O32" s="279"/>
      <c r="P32" s="280"/>
      <c r="Q32" s="281" t="e">
        <f>+N32+#REF!+#REF!+#REF!+#REF!+#REF!+#REF!+#REF!</f>
        <v>#REF!</v>
      </c>
      <c r="R32" s="282" t="e">
        <f t="shared" si="11"/>
        <v>#REF!</v>
      </c>
      <c r="S32" s="283">
        <v>90</v>
      </c>
      <c r="AQ32" s="293">
        <v>0.9</v>
      </c>
      <c r="AR32" s="302" t="e">
        <f>SUM(AR30:AR31)</f>
        <v>#REF!</v>
      </c>
      <c r="AS32" s="302" t="e">
        <f>SUM(AS30:AS31)</f>
        <v>#REF!</v>
      </c>
      <c r="AT32" s="295" t="e">
        <f>AR32/AS32</f>
        <v>#REF!</v>
      </c>
      <c r="AU32" s="296" t="e">
        <f>IF(AQ32="aut",$C$2,IF(AT32&gt;=AQ32,$C$2,((AT32/AQ32)*$C$2)))</f>
        <v>#REF!</v>
      </c>
      <c r="AW32" s="293">
        <v>0.9</v>
      </c>
      <c r="AX32" s="297" t="e">
        <f>SUM(AX30:AX31)</f>
        <v>#REF!</v>
      </c>
      <c r="AY32" s="297" t="e">
        <f>SUM(AY30:AY31)</f>
        <v>#REF!</v>
      </c>
      <c r="AZ32" s="295" t="e">
        <f>AX32/AY32</f>
        <v>#REF!</v>
      </c>
      <c r="BA32" s="296" t="e">
        <f>IF(AW32="aut",$C$2,IF(AZ32&gt;=AW32,$C$2,((AZ32/AW32)*$C$2)))</f>
        <v>#REF!</v>
      </c>
      <c r="BC32" s="289" t="e">
        <f>#REF!</f>
        <v>#REF!</v>
      </c>
      <c r="BD32" s="297" t="e">
        <f>SUM(BD30:BD31)</f>
        <v>#REF!</v>
      </c>
      <c r="BE32" s="297" t="e">
        <f>SUM(BE30:BE31)</f>
        <v>#REF!</v>
      </c>
      <c r="BF32" s="295" t="e">
        <f>BD32/BE32</f>
        <v>#REF!</v>
      </c>
      <c r="BG32" s="296" t="e">
        <f>IF(BC32="aut",$C$2,IF(BF32&gt;=BC32,$C$2/2,((BF32/BC32)*$C$2/2)))</f>
        <v>#REF!</v>
      </c>
      <c r="BI32" s="293" t="e">
        <f>BJ32/BK32</f>
        <v>#REF!</v>
      </c>
      <c r="BJ32" s="297" t="e">
        <f>SUM(BJ30:BJ31)</f>
        <v>#REF!</v>
      </c>
      <c r="BK32" s="297" t="e">
        <f>SUM(BK30:BK31)</f>
        <v>#REF!</v>
      </c>
      <c r="BL32" s="298">
        <f>IFERROR(BI32/BI32,0%)</f>
        <v>0</v>
      </c>
      <c r="BM32" s="299" t="e">
        <f>IF(#REF!="aut",($C$2/2),IF(#REF!&gt;=#REF!,$C$2/2,((#REF!/#REF!)*$C$2/2)))</f>
        <v>#REF!</v>
      </c>
      <c r="BN32" s="299" t="e">
        <f>BG32+BM32</f>
        <v>#REF!</v>
      </c>
      <c r="BP32" s="293">
        <v>0.28000000000000003</v>
      </c>
      <c r="BQ32" s="297" t="e">
        <f>SUM(BQ30:BQ31)</f>
        <v>#REF!</v>
      </c>
      <c r="BR32" s="297" t="e">
        <f>SUM(BR30:BR31)</f>
        <v>#REF!</v>
      </c>
      <c r="BS32" s="295" t="e">
        <f>BQ32/BR32</f>
        <v>#REF!</v>
      </c>
      <c r="BT32" s="296" t="e">
        <f>IF(BP32="aut",$C$2,IF(BS32&gt;=BP32,$C$2,((BS32/BP32)*$C$2)))</f>
        <v>#REF!</v>
      </c>
      <c r="BV32" s="311">
        <v>0.83</v>
      </c>
      <c r="BW32" s="297" t="e">
        <f>SUM(BW30:BW31)</f>
        <v>#REF!</v>
      </c>
      <c r="BX32" s="297" t="e">
        <f>SUM(BX30:BX31)</f>
        <v>#REF!</v>
      </c>
      <c r="BY32" s="295" t="e">
        <f>BW32/BX32</f>
        <v>#REF!</v>
      </c>
      <c r="BZ32" s="296" t="e">
        <f>IF(BV32="aut",$C$2,IF(BY32&gt;=BV32,$C$2,((BY32/BV32)*$C$2)))</f>
        <v>#REF!</v>
      </c>
      <c r="CB32" s="293">
        <v>0.43</v>
      </c>
      <c r="CC32" s="297" t="e">
        <f>SUM(CC30:CC31)</f>
        <v>#REF!</v>
      </c>
      <c r="CD32" s="297" t="e">
        <f>SUM(CD30:CD31)</f>
        <v>#REF!</v>
      </c>
      <c r="CE32" s="295" t="e">
        <f>CC32/CD32</f>
        <v>#REF!</v>
      </c>
      <c r="CF32" s="296" t="e">
        <f>IF(CB32="aut",$C$2,IF(CE32&gt;=CB32,$C$2,((CE32/CB32)*$C$2)))</f>
        <v>#REF!</v>
      </c>
      <c r="CH32" s="293">
        <v>0.6</v>
      </c>
      <c r="CI32" s="297" t="e">
        <f>SUM(CI30:CI31)</f>
        <v>#REF!</v>
      </c>
      <c r="CJ32" s="297" t="e">
        <f>SUM(CJ30:CJ31)</f>
        <v>#REF!</v>
      </c>
      <c r="CK32" s="295" t="e">
        <f>CI32/CJ32</f>
        <v>#REF!</v>
      </c>
      <c r="CL32" s="296" t="e">
        <f>IF(CH32="aut",$C$2,IF(CK32&gt;=CH32,$C$2,((CK32/CH32)*$C$2)))</f>
        <v>#REF!</v>
      </c>
      <c r="CN32" s="293">
        <v>0.8</v>
      </c>
      <c r="CO32" s="297">
        <f>SUM(CO30:CO31)</f>
        <v>2</v>
      </c>
      <c r="CP32" s="297">
        <f>SUM(CP30:CP31)</f>
        <v>2</v>
      </c>
      <c r="CQ32" s="295">
        <f>CO32/CP32</f>
        <v>1</v>
      </c>
      <c r="CR32" s="296">
        <f>IF(CN32="aut",$C$2,IF(CQ32&gt;=CN32,$C$2,((CQ32/CN32)*$C$2)))</f>
        <v>12.5</v>
      </c>
      <c r="CS32" s="300" t="e">
        <f t="shared" si="13"/>
        <v>#REF!</v>
      </c>
    </row>
    <row r="33" spans="1:97" outlineLevel="2" x14ac:dyDescent="0.25">
      <c r="A33" s="270" t="s">
        <v>233</v>
      </c>
      <c r="B33" s="271" t="s">
        <v>36</v>
      </c>
      <c r="C33" s="271" t="s">
        <v>33</v>
      </c>
      <c r="D33" s="406" t="s">
        <v>129</v>
      </c>
      <c r="E33" s="407">
        <v>480</v>
      </c>
      <c r="F33" s="407">
        <v>3635</v>
      </c>
      <c r="G33" s="272">
        <f t="shared" si="14"/>
        <v>0.13204951856946354</v>
      </c>
      <c r="H33" s="278">
        <v>6.25E-2</v>
      </c>
      <c r="I33" s="276"/>
      <c r="J33" s="277">
        <v>0.8</v>
      </c>
      <c r="K33" s="273">
        <v>1</v>
      </c>
      <c r="L33" s="273">
        <v>1</v>
      </c>
      <c r="M33" s="274">
        <f t="shared" si="10"/>
        <v>1</v>
      </c>
      <c r="N33" s="275">
        <f t="shared" si="4"/>
        <v>12.5</v>
      </c>
      <c r="O33" s="279"/>
      <c r="P33" s="280"/>
      <c r="Q33" s="281" t="e">
        <f>+N33+#REF!+#REF!+#REF!+#REF!+#REF!+#REF!+#REF!</f>
        <v>#REF!</v>
      </c>
      <c r="R33" s="282" t="e">
        <f t="shared" si="11"/>
        <v>#REF!</v>
      </c>
      <c r="S33" s="283">
        <v>90</v>
      </c>
      <c r="AP33" s="271" t="s">
        <v>36</v>
      </c>
      <c r="AQ33" s="284" t="e">
        <f>#REF!</f>
        <v>#REF!</v>
      </c>
      <c r="AR33" s="301" t="e">
        <f>#REF!</f>
        <v>#REF!</v>
      </c>
      <c r="AS33" s="301" t="e">
        <f>#REF!</f>
        <v>#REF!</v>
      </c>
      <c r="AT33" s="284" t="e">
        <f>#REF!</f>
        <v>#REF!</v>
      </c>
      <c r="AU33" s="285" t="e">
        <f>#REF!</f>
        <v>#REF!</v>
      </c>
      <c r="AV33" s="271" t="s">
        <v>36</v>
      </c>
      <c r="AW33" s="284" t="e">
        <f>#REF!</f>
        <v>#REF!</v>
      </c>
      <c r="AX33" s="286" t="e">
        <f>#REF!</f>
        <v>#REF!</v>
      </c>
      <c r="AY33" s="286" t="e">
        <f>#REF!</f>
        <v>#REF!</v>
      </c>
      <c r="AZ33" s="284" t="e">
        <f>#REF!</f>
        <v>#REF!</v>
      </c>
      <c r="BA33" s="285" t="e">
        <f>#REF!</f>
        <v>#REF!</v>
      </c>
      <c r="BB33" s="271" t="s">
        <v>36</v>
      </c>
      <c r="BC33" s="289" t="e">
        <f>#REF!</f>
        <v>#REF!</v>
      </c>
      <c r="BD33" s="286" t="e">
        <f>#REF!</f>
        <v>#REF!</v>
      </c>
      <c r="BE33" s="286" t="e">
        <f>#REF!</f>
        <v>#REF!</v>
      </c>
      <c r="BF33" s="284" t="e">
        <f>#REF!</f>
        <v>#REF!</v>
      </c>
      <c r="BG33" s="285" t="e">
        <f>#REF!</f>
        <v>#REF!</v>
      </c>
      <c r="BH33" s="271" t="s">
        <v>36</v>
      </c>
      <c r="BI33" s="289" t="e">
        <f>#REF!</f>
        <v>#REF!</v>
      </c>
      <c r="BJ33" s="286" t="e">
        <f>#REF!</f>
        <v>#REF!</v>
      </c>
      <c r="BK33" s="286" t="e">
        <f>#REF!</f>
        <v>#REF!</v>
      </c>
      <c r="BL33" s="284" t="e">
        <f>#REF!</f>
        <v>#REF!</v>
      </c>
      <c r="BM33" s="285" t="e">
        <f>#REF!</f>
        <v>#REF!</v>
      </c>
      <c r="BN33" s="288" t="e">
        <f>#REF!</f>
        <v>#REF!</v>
      </c>
      <c r="BO33" s="271" t="s">
        <v>36</v>
      </c>
      <c r="BP33" s="289" t="e">
        <f>#REF!</f>
        <v>#REF!</v>
      </c>
      <c r="BQ33" s="286" t="e">
        <f>#REF!</f>
        <v>#REF!</v>
      </c>
      <c r="BR33" s="286" t="e">
        <f>#REF!</f>
        <v>#REF!</v>
      </c>
      <c r="BS33" s="284" t="e">
        <f>#REF!</f>
        <v>#REF!</v>
      </c>
      <c r="BT33" s="285" t="e">
        <f>#REF!</f>
        <v>#REF!</v>
      </c>
      <c r="BU33" s="271" t="s">
        <v>36</v>
      </c>
      <c r="BV33" s="289" t="e">
        <f>#REF!</f>
        <v>#REF!</v>
      </c>
      <c r="BW33" s="286" t="e">
        <f>#REF!</f>
        <v>#REF!</v>
      </c>
      <c r="BX33" s="286" t="e">
        <f>#REF!</f>
        <v>#REF!</v>
      </c>
      <c r="BY33" s="284" t="e">
        <f>#REF!</f>
        <v>#REF!</v>
      </c>
      <c r="BZ33" s="285" t="e">
        <f>#REF!</f>
        <v>#REF!</v>
      </c>
      <c r="CA33" s="271" t="s">
        <v>36</v>
      </c>
      <c r="CB33" s="289" t="e">
        <f>#REF!</f>
        <v>#REF!</v>
      </c>
      <c r="CC33" s="286" t="e">
        <f>#REF!</f>
        <v>#REF!</v>
      </c>
      <c r="CD33" s="286" t="e">
        <f>#REF!</f>
        <v>#REF!</v>
      </c>
      <c r="CE33" s="284" t="e">
        <f>#REF!</f>
        <v>#REF!</v>
      </c>
      <c r="CF33" s="285" t="e">
        <f>#REF!</f>
        <v>#REF!</v>
      </c>
      <c r="CG33" s="271" t="s">
        <v>36</v>
      </c>
      <c r="CH33" s="289" t="e">
        <f>#REF!</f>
        <v>#REF!</v>
      </c>
      <c r="CI33" s="286" t="e">
        <f>#REF!</f>
        <v>#REF!</v>
      </c>
      <c r="CJ33" s="286" t="e">
        <f>#REF!</f>
        <v>#REF!</v>
      </c>
      <c r="CK33" s="284" t="e">
        <f>#REF!</f>
        <v>#REF!</v>
      </c>
      <c r="CL33" s="285" t="e">
        <f>#REF!</f>
        <v>#REF!</v>
      </c>
      <c r="CM33" s="271" t="s">
        <v>36</v>
      </c>
      <c r="CN33" s="289">
        <f t="shared" ref="CN33:CR34" si="15">J33</f>
        <v>0.8</v>
      </c>
      <c r="CO33" s="286">
        <f t="shared" si="15"/>
        <v>1</v>
      </c>
      <c r="CP33" s="286">
        <f t="shared" si="15"/>
        <v>1</v>
      </c>
      <c r="CQ33" s="284">
        <f t="shared" si="15"/>
        <v>1</v>
      </c>
      <c r="CR33" s="285">
        <f t="shared" si="15"/>
        <v>12.5</v>
      </c>
      <c r="CS33" s="310" t="e">
        <f t="shared" si="13"/>
        <v>#REF!</v>
      </c>
    </row>
    <row r="34" spans="1:97" outlineLevel="2" x14ac:dyDescent="0.25">
      <c r="A34" s="270" t="s">
        <v>232</v>
      </c>
      <c r="B34" s="271" t="s">
        <v>37</v>
      </c>
      <c r="C34" s="271" t="s">
        <v>33</v>
      </c>
      <c r="D34" s="406" t="s">
        <v>129</v>
      </c>
      <c r="E34" s="407">
        <v>785</v>
      </c>
      <c r="F34" s="407">
        <v>4436</v>
      </c>
      <c r="G34" s="272">
        <f t="shared" si="14"/>
        <v>0.17696122633002706</v>
      </c>
      <c r="H34" s="278">
        <v>6.25E-2</v>
      </c>
      <c r="I34" s="276"/>
      <c r="J34" s="277">
        <v>0.8</v>
      </c>
      <c r="K34" s="273">
        <v>1</v>
      </c>
      <c r="L34" s="273">
        <v>1</v>
      </c>
      <c r="M34" s="274">
        <f t="shared" si="10"/>
        <v>1</v>
      </c>
      <c r="N34" s="275">
        <f t="shared" si="4"/>
        <v>12.5</v>
      </c>
      <c r="O34" s="279"/>
      <c r="P34" s="280"/>
      <c r="Q34" s="281" t="e">
        <f>+N34+#REF!+#REF!+#REF!+#REF!+#REF!+#REF!+#REF!</f>
        <v>#REF!</v>
      </c>
      <c r="R34" s="282" t="e">
        <f t="shared" si="11"/>
        <v>#REF!</v>
      </c>
      <c r="S34" s="283">
        <v>90</v>
      </c>
      <c r="AP34" s="271" t="s">
        <v>37</v>
      </c>
      <c r="AQ34" s="284" t="e">
        <f>#REF!</f>
        <v>#REF!</v>
      </c>
      <c r="AR34" s="301" t="e">
        <f>#REF!</f>
        <v>#REF!</v>
      </c>
      <c r="AS34" s="301" t="e">
        <f>#REF!</f>
        <v>#REF!</v>
      </c>
      <c r="AT34" s="284" t="e">
        <f>#REF!</f>
        <v>#REF!</v>
      </c>
      <c r="AU34" s="285" t="e">
        <f>#REF!</f>
        <v>#REF!</v>
      </c>
      <c r="AV34" s="271" t="s">
        <v>37</v>
      </c>
      <c r="AW34" s="284" t="e">
        <f>#REF!</f>
        <v>#REF!</v>
      </c>
      <c r="AX34" s="286" t="e">
        <f>#REF!</f>
        <v>#REF!</v>
      </c>
      <c r="AY34" s="286" t="e">
        <f>#REF!</f>
        <v>#REF!</v>
      </c>
      <c r="AZ34" s="284" t="e">
        <f>#REF!</f>
        <v>#REF!</v>
      </c>
      <c r="BA34" s="285" t="e">
        <f>#REF!</f>
        <v>#REF!</v>
      </c>
      <c r="BB34" s="271" t="s">
        <v>37</v>
      </c>
      <c r="BC34" s="289" t="e">
        <f>#REF!</f>
        <v>#REF!</v>
      </c>
      <c r="BD34" s="286" t="e">
        <f>#REF!</f>
        <v>#REF!</v>
      </c>
      <c r="BE34" s="286" t="e">
        <f>#REF!</f>
        <v>#REF!</v>
      </c>
      <c r="BF34" s="284" t="e">
        <f>#REF!</f>
        <v>#REF!</v>
      </c>
      <c r="BG34" s="285" t="e">
        <f>#REF!</f>
        <v>#REF!</v>
      </c>
      <c r="BH34" s="271" t="s">
        <v>37</v>
      </c>
      <c r="BI34" s="289" t="e">
        <f>#REF!</f>
        <v>#REF!</v>
      </c>
      <c r="BJ34" s="286" t="e">
        <f>#REF!</f>
        <v>#REF!</v>
      </c>
      <c r="BK34" s="286" t="e">
        <f>#REF!</f>
        <v>#REF!</v>
      </c>
      <c r="BL34" s="284" t="e">
        <f>#REF!</f>
        <v>#REF!</v>
      </c>
      <c r="BM34" s="285" t="e">
        <f>#REF!</f>
        <v>#REF!</v>
      </c>
      <c r="BN34" s="288" t="e">
        <f>#REF!</f>
        <v>#REF!</v>
      </c>
      <c r="BO34" s="271" t="s">
        <v>37</v>
      </c>
      <c r="BP34" s="289" t="e">
        <f>#REF!</f>
        <v>#REF!</v>
      </c>
      <c r="BQ34" s="286" t="e">
        <f>#REF!</f>
        <v>#REF!</v>
      </c>
      <c r="BR34" s="286" t="e">
        <f>#REF!</f>
        <v>#REF!</v>
      </c>
      <c r="BS34" s="284" t="e">
        <f>#REF!</f>
        <v>#REF!</v>
      </c>
      <c r="BT34" s="285" t="e">
        <f>#REF!</f>
        <v>#REF!</v>
      </c>
      <c r="BU34" s="271" t="s">
        <v>37</v>
      </c>
      <c r="BV34" s="289" t="e">
        <f>#REF!</f>
        <v>#REF!</v>
      </c>
      <c r="BW34" s="286" t="e">
        <f>#REF!</f>
        <v>#REF!</v>
      </c>
      <c r="BX34" s="286" t="e">
        <f>#REF!</f>
        <v>#REF!</v>
      </c>
      <c r="BY34" s="284" t="e">
        <f>#REF!</f>
        <v>#REF!</v>
      </c>
      <c r="BZ34" s="285" t="e">
        <f>#REF!</f>
        <v>#REF!</v>
      </c>
      <c r="CA34" s="271" t="s">
        <v>37</v>
      </c>
      <c r="CB34" s="289" t="e">
        <f>#REF!</f>
        <v>#REF!</v>
      </c>
      <c r="CC34" s="286" t="e">
        <f>#REF!</f>
        <v>#REF!</v>
      </c>
      <c r="CD34" s="286" t="e">
        <f>#REF!</f>
        <v>#REF!</v>
      </c>
      <c r="CE34" s="284" t="e">
        <f>#REF!</f>
        <v>#REF!</v>
      </c>
      <c r="CF34" s="285" t="e">
        <f>#REF!</f>
        <v>#REF!</v>
      </c>
      <c r="CG34" s="271" t="s">
        <v>37</v>
      </c>
      <c r="CH34" s="289" t="e">
        <f>#REF!</f>
        <v>#REF!</v>
      </c>
      <c r="CI34" s="286" t="e">
        <f>#REF!</f>
        <v>#REF!</v>
      </c>
      <c r="CJ34" s="286" t="e">
        <f>#REF!</f>
        <v>#REF!</v>
      </c>
      <c r="CK34" s="284" t="e">
        <f>#REF!</f>
        <v>#REF!</v>
      </c>
      <c r="CL34" s="285" t="e">
        <f>#REF!</f>
        <v>#REF!</v>
      </c>
      <c r="CM34" s="271" t="s">
        <v>37</v>
      </c>
      <c r="CN34" s="289">
        <f t="shared" si="15"/>
        <v>0.8</v>
      </c>
      <c r="CO34" s="286">
        <f t="shared" si="15"/>
        <v>1</v>
      </c>
      <c r="CP34" s="286">
        <f t="shared" si="15"/>
        <v>1</v>
      </c>
      <c r="CQ34" s="284">
        <f t="shared" si="15"/>
        <v>1</v>
      </c>
      <c r="CR34" s="285">
        <f t="shared" si="15"/>
        <v>12.5</v>
      </c>
      <c r="CS34" s="310" t="e">
        <f t="shared" si="13"/>
        <v>#REF!</v>
      </c>
    </row>
    <row r="35" spans="1:97" outlineLevel="2" x14ac:dyDescent="0.25">
      <c r="A35" s="270" t="s">
        <v>229</v>
      </c>
      <c r="B35" s="271" t="s">
        <v>38</v>
      </c>
      <c r="C35" s="271" t="s">
        <v>33</v>
      </c>
      <c r="D35" s="406" t="s">
        <v>129</v>
      </c>
      <c r="E35" s="407">
        <v>116</v>
      </c>
      <c r="F35" s="407">
        <v>776</v>
      </c>
      <c r="G35" s="272">
        <f t="shared" si="14"/>
        <v>0.14948453608247422</v>
      </c>
      <c r="H35" s="278">
        <v>6.25E-2</v>
      </c>
      <c r="I35" s="276"/>
      <c r="J35" s="277">
        <v>0.8</v>
      </c>
      <c r="K35" s="273">
        <v>1</v>
      </c>
      <c r="L35" s="273">
        <v>1</v>
      </c>
      <c r="M35" s="274">
        <f t="shared" si="10"/>
        <v>1</v>
      </c>
      <c r="N35" s="275">
        <f t="shared" si="4"/>
        <v>12.5</v>
      </c>
      <c r="O35" s="279"/>
      <c r="P35" s="280"/>
      <c r="Q35" s="281" t="e">
        <f>+N35+#REF!+#REF!+#REF!+#REF!+#REF!+#REF!+#REF!</f>
        <v>#REF!</v>
      </c>
      <c r="R35" s="282" t="e">
        <f t="shared" si="11"/>
        <v>#REF!</v>
      </c>
      <c r="S35" s="283">
        <v>90</v>
      </c>
      <c r="AQ35" s="293">
        <v>0.9</v>
      </c>
      <c r="AR35" s="302" t="e">
        <f>SUM(AR33:AR34)</f>
        <v>#REF!</v>
      </c>
      <c r="AS35" s="302" t="e">
        <f>SUM(AS33:AS34)</f>
        <v>#REF!</v>
      </c>
      <c r="AT35" s="295" t="e">
        <f>AR35/AS35</f>
        <v>#REF!</v>
      </c>
      <c r="AU35" s="296" t="e">
        <f>IF(AQ35="aut",$C$2,IF(AT35&gt;=AQ35,$C$2,((AT35/AQ35)*$C$2)))</f>
        <v>#REF!</v>
      </c>
      <c r="AW35" s="293">
        <v>0.9</v>
      </c>
      <c r="AX35" s="297" t="e">
        <f>SUM(AX33:AX34)</f>
        <v>#REF!</v>
      </c>
      <c r="AY35" s="297" t="e">
        <f>SUM(AY33:AY34)</f>
        <v>#REF!</v>
      </c>
      <c r="AZ35" s="295" t="e">
        <f>AX35/AY35</f>
        <v>#REF!</v>
      </c>
      <c r="BA35" s="296" t="e">
        <f>IF(AW35="aut",$C$2,IF(AZ35&gt;=AW35,$C$2,((AZ35/AW35)*$C$2)))</f>
        <v>#REF!</v>
      </c>
      <c r="BC35" s="289" t="e">
        <f>#REF!</f>
        <v>#REF!</v>
      </c>
      <c r="BD35" s="297" t="e">
        <f>SUM(BD33:BD34)</f>
        <v>#REF!</v>
      </c>
      <c r="BE35" s="297" t="e">
        <f>SUM(BE33:BE34)</f>
        <v>#REF!</v>
      </c>
      <c r="BF35" s="295" t="e">
        <f>BD35/BE35</f>
        <v>#REF!</v>
      </c>
      <c r="BG35" s="296" t="e">
        <f>IF(BC35="aut",$C$2,IF(BF35&gt;=BC35,$C$2/2,((BF35/BC35)*$C$2/2)))</f>
        <v>#REF!</v>
      </c>
      <c r="BI35" s="293" t="e">
        <f>BJ35/BK35</f>
        <v>#REF!</v>
      </c>
      <c r="BJ35" s="297" t="e">
        <f>SUM(BJ33:BJ34)</f>
        <v>#REF!</v>
      </c>
      <c r="BK35" s="297" t="e">
        <f>SUM(BK33:BK34)</f>
        <v>#REF!</v>
      </c>
      <c r="BL35" s="298">
        <f>IFERROR(BI35/BI35,0%)</f>
        <v>0</v>
      </c>
      <c r="BM35" s="299" t="e">
        <f>IF(#REF!="aut",($C$2/2),IF(#REF!&gt;=#REF!,$C$2/2,((#REF!/#REF!)*$C$2/2)))</f>
        <v>#REF!</v>
      </c>
      <c r="BN35" s="299" t="e">
        <f>BG35+BM35</f>
        <v>#REF!</v>
      </c>
      <c r="BP35" s="293">
        <v>0.28000000000000003</v>
      </c>
      <c r="BQ35" s="297" t="e">
        <f>SUM(BQ33:BQ34)</f>
        <v>#REF!</v>
      </c>
      <c r="BR35" s="297" t="e">
        <f>SUM(BR33:BR34)</f>
        <v>#REF!</v>
      </c>
      <c r="BS35" s="295" t="e">
        <f>BQ35/BR35</f>
        <v>#REF!</v>
      </c>
      <c r="BT35" s="296" t="e">
        <f>IF(BP35="aut",$C$2,IF(BS35&gt;=BP35,$C$2,((BS35/BP35)*$C$2)))</f>
        <v>#REF!</v>
      </c>
      <c r="BV35" s="311">
        <v>0.83</v>
      </c>
      <c r="BW35" s="297" t="e">
        <f>SUM(BW33:BW34)</f>
        <v>#REF!</v>
      </c>
      <c r="BX35" s="297" t="e">
        <f>SUM(BX33:BX34)</f>
        <v>#REF!</v>
      </c>
      <c r="BY35" s="295" t="e">
        <f>BW35/BX35</f>
        <v>#REF!</v>
      </c>
      <c r="BZ35" s="296" t="e">
        <f>IF(BV35="aut",$C$2,IF(BY35&gt;=BV35,$C$2,((BY35/BV35)*$C$2)))</f>
        <v>#REF!</v>
      </c>
      <c r="CB35" s="293">
        <v>0.43</v>
      </c>
      <c r="CC35" s="297" t="e">
        <f>SUM(CC33:CC34)</f>
        <v>#REF!</v>
      </c>
      <c r="CD35" s="297" t="e">
        <f>SUM(CD33:CD34)</f>
        <v>#REF!</v>
      </c>
      <c r="CE35" s="295" t="e">
        <f>CC35/CD35</f>
        <v>#REF!</v>
      </c>
      <c r="CF35" s="296" t="e">
        <f>IF(CB35="aut",$C$2,IF(CE35&gt;=CB35,$C$2,((CE35/CB35)*$C$2)))</f>
        <v>#REF!</v>
      </c>
      <c r="CH35" s="293">
        <v>0.6</v>
      </c>
      <c r="CI35" s="297" t="e">
        <f>SUM(CI33:CI34)</f>
        <v>#REF!</v>
      </c>
      <c r="CJ35" s="297" t="e">
        <f>SUM(CJ33:CJ34)</f>
        <v>#REF!</v>
      </c>
      <c r="CK35" s="295" t="e">
        <f>CI35/CJ35</f>
        <v>#REF!</v>
      </c>
      <c r="CL35" s="296" t="e">
        <f>IF(CH35="aut",$C$2,IF(CK35&gt;=CH35,$C$2,((CK35/CH35)*$C$2)))</f>
        <v>#REF!</v>
      </c>
      <c r="CN35" s="293">
        <v>0.8</v>
      </c>
      <c r="CO35" s="297">
        <f>SUM(CO33:CO34)</f>
        <v>2</v>
      </c>
      <c r="CP35" s="297">
        <f>SUM(CP33:CP34)</f>
        <v>2</v>
      </c>
      <c r="CQ35" s="295">
        <f>CO35/CP35</f>
        <v>1</v>
      </c>
      <c r="CR35" s="296">
        <f>IF(CN35="aut",$C$2,IF(CQ35&gt;=CN35,$C$2,((CQ35/CN35)*$C$2)))</f>
        <v>12.5</v>
      </c>
      <c r="CS35" s="300" t="e">
        <f t="shared" si="13"/>
        <v>#REF!</v>
      </c>
    </row>
    <row r="36" spans="1:97" outlineLevel="2" x14ac:dyDescent="0.25">
      <c r="A36" s="270" t="s">
        <v>230</v>
      </c>
      <c r="B36" s="271" t="s">
        <v>39</v>
      </c>
      <c r="C36" s="271" t="s">
        <v>33</v>
      </c>
      <c r="D36" s="406" t="s">
        <v>129</v>
      </c>
      <c r="E36" s="407">
        <v>439</v>
      </c>
      <c r="F36" s="407">
        <v>1968</v>
      </c>
      <c r="G36" s="272">
        <f t="shared" si="14"/>
        <v>0.22306910569105692</v>
      </c>
      <c r="H36" s="278">
        <v>6.25E-2</v>
      </c>
      <c r="I36" s="276"/>
      <c r="J36" s="277">
        <v>0.8</v>
      </c>
      <c r="K36" s="273">
        <v>1</v>
      </c>
      <c r="L36" s="273">
        <v>1</v>
      </c>
      <c r="M36" s="274">
        <f t="shared" si="10"/>
        <v>1</v>
      </c>
      <c r="N36" s="275">
        <f t="shared" si="4"/>
        <v>12.5</v>
      </c>
      <c r="O36" s="279"/>
      <c r="P36" s="280"/>
      <c r="Q36" s="281" t="e">
        <f>+N36+#REF!+#REF!+#REF!+#REF!+#REF!+#REF!+#REF!</f>
        <v>#REF!</v>
      </c>
      <c r="R36" s="282" t="e">
        <f t="shared" si="11"/>
        <v>#REF!</v>
      </c>
      <c r="S36" s="283">
        <v>90</v>
      </c>
    </row>
    <row r="37" spans="1:97" outlineLevel="1" x14ac:dyDescent="0.25">
      <c r="B37" s="361"/>
      <c r="C37" s="362" t="s">
        <v>33</v>
      </c>
      <c r="D37" s="365"/>
      <c r="E37" s="363"/>
      <c r="F37" s="363"/>
      <c r="G37" s="366"/>
      <c r="H37" s="307"/>
      <c r="I37" s="306"/>
      <c r="J37" s="305" t="s">
        <v>33</v>
      </c>
      <c r="K37" s="303">
        <f>SUM(K30:K36)</f>
        <v>7</v>
      </c>
      <c r="L37" s="303">
        <f>SUM(L30:L36)</f>
        <v>7</v>
      </c>
      <c r="M37" s="304">
        <f>IFERROR(K37/L37,"")</f>
        <v>1</v>
      </c>
      <c r="N37" s="307"/>
      <c r="O37" s="307"/>
      <c r="P37" s="280"/>
      <c r="Q37" s="308"/>
      <c r="R37" s="309"/>
    </row>
    <row r="38" spans="1:97" x14ac:dyDescent="0.25">
      <c r="B38" s="361"/>
      <c r="C38" s="362" t="s">
        <v>332</v>
      </c>
      <c r="D38" s="364" t="s">
        <v>333</v>
      </c>
      <c r="E38" s="367">
        <f>E21+E29+E37</f>
        <v>0</v>
      </c>
      <c r="F38" s="367">
        <f>F21+F29+F37</f>
        <v>0</v>
      </c>
      <c r="G38" s="366">
        <f>IF(D38="aut",100%,IF(F38=0,100%,E38/F38))</f>
        <v>1</v>
      </c>
      <c r="H38" s="277"/>
      <c r="I38" s="306"/>
      <c r="J38" s="272" t="s">
        <v>333</v>
      </c>
      <c r="K38" s="313">
        <f>K21+K29+K37</f>
        <v>31</v>
      </c>
      <c r="L38" s="313">
        <f>L21+L29+L37</f>
        <v>31</v>
      </c>
      <c r="M38" s="272">
        <f>IFERROR(K38/L38,"")</f>
        <v>1</v>
      </c>
      <c r="N38" s="277"/>
      <c r="O38" s="277"/>
      <c r="P38" s="280"/>
      <c r="Q38" s="272"/>
      <c r="R38" s="313"/>
    </row>
    <row r="39" spans="1:97" ht="6.75" customHeight="1" x14ac:dyDescent="0.25"/>
    <row r="40" spans="1:97" ht="27" customHeight="1" x14ac:dyDescent="0.25">
      <c r="D40" s="150"/>
      <c r="E40" s="150"/>
      <c r="F40" s="150"/>
      <c r="G40" s="150"/>
      <c r="H40" s="150"/>
      <c r="I40" s="150"/>
      <c r="J40" s="787" t="s">
        <v>361</v>
      </c>
      <c r="K40" s="788"/>
      <c r="L40" s="788"/>
      <c r="M40" s="788"/>
      <c r="N40" s="789"/>
      <c r="O40"/>
      <c r="P40" s="150"/>
    </row>
    <row r="41" spans="1:97" ht="18.75" customHeight="1" x14ac:dyDescent="0.25">
      <c r="D41" s="150"/>
      <c r="E41" s="150"/>
      <c r="F41" s="150"/>
      <c r="G41" s="150"/>
      <c r="H41" s="150"/>
      <c r="I41" s="150"/>
      <c r="J41" s="314" t="s">
        <v>1</v>
      </c>
      <c r="K41" s="314" t="s">
        <v>1</v>
      </c>
      <c r="L41" s="314" t="s">
        <v>2</v>
      </c>
      <c r="M41" s="314" t="s">
        <v>257</v>
      </c>
      <c r="N41" s="314" t="s">
        <v>317</v>
      </c>
      <c r="P41" s="257"/>
      <c r="Q41" s="258"/>
      <c r="S41" s="257"/>
    </row>
    <row r="42" spans="1:97" x14ac:dyDescent="0.25">
      <c r="D42" s="150"/>
      <c r="E42" s="150"/>
      <c r="F42" s="150"/>
      <c r="G42" s="150"/>
      <c r="H42" s="150"/>
      <c r="I42" s="150"/>
      <c r="J42" s="315" t="s">
        <v>7</v>
      </c>
      <c r="K42" s="314">
        <f>K21</f>
        <v>17</v>
      </c>
      <c r="L42" s="314">
        <f>L21</f>
        <v>17</v>
      </c>
      <c r="M42" s="316">
        <f>M21</f>
        <v>1</v>
      </c>
      <c r="N42" s="317">
        <v>0.8</v>
      </c>
      <c r="O42" s="318"/>
      <c r="P42" s="318"/>
      <c r="Q42" s="319"/>
      <c r="R42" s="318"/>
      <c r="S42" s="320"/>
    </row>
    <row r="43" spans="1:97" x14ac:dyDescent="0.25">
      <c r="D43" s="150"/>
      <c r="E43" s="150"/>
      <c r="F43" s="150"/>
      <c r="G43" s="150"/>
      <c r="H43" s="150"/>
      <c r="I43" s="150"/>
      <c r="J43" s="315" t="s">
        <v>25</v>
      </c>
      <c r="K43" s="314">
        <f>K29</f>
        <v>7</v>
      </c>
      <c r="L43" s="314">
        <f>L29</f>
        <v>7</v>
      </c>
      <c r="M43" s="316">
        <f>M29</f>
        <v>1</v>
      </c>
      <c r="N43" s="317">
        <v>0.8</v>
      </c>
      <c r="O43" s="318"/>
      <c r="P43" s="318"/>
      <c r="Q43" s="319"/>
      <c r="R43" s="318"/>
      <c r="S43" s="320"/>
    </row>
    <row r="44" spans="1:97" x14ac:dyDescent="0.25">
      <c r="D44" s="150"/>
      <c r="E44" s="150"/>
      <c r="F44" s="150"/>
      <c r="G44" s="150"/>
      <c r="H44" s="150"/>
      <c r="I44" s="150"/>
      <c r="J44" s="315" t="s">
        <v>33</v>
      </c>
      <c r="K44" s="314">
        <f>K37</f>
        <v>7</v>
      </c>
      <c r="L44" s="314">
        <f>L37</f>
        <v>7</v>
      </c>
      <c r="M44" s="316">
        <f>M37</f>
        <v>1</v>
      </c>
      <c r="N44" s="317">
        <v>0.8</v>
      </c>
      <c r="O44" s="318"/>
      <c r="P44" s="318"/>
      <c r="Q44" s="319"/>
      <c r="R44" s="318"/>
      <c r="S44" s="320"/>
    </row>
    <row r="45" spans="1:97" x14ac:dyDescent="0.25">
      <c r="D45" s="150"/>
      <c r="E45" s="150"/>
      <c r="F45" s="150"/>
      <c r="G45" s="150"/>
      <c r="H45" s="150"/>
      <c r="I45" s="150"/>
      <c r="J45" s="321" t="str">
        <f>J38</f>
        <v>Total</v>
      </c>
      <c r="K45" s="314">
        <f t="shared" ref="K45:M45" si="16">K38</f>
        <v>31</v>
      </c>
      <c r="L45" s="314">
        <f t="shared" si="16"/>
        <v>31</v>
      </c>
      <c r="M45" s="316">
        <f t="shared" si="16"/>
        <v>1</v>
      </c>
      <c r="N45" s="317">
        <v>0.8</v>
      </c>
      <c r="O45" s="318"/>
      <c r="P45" s="318"/>
      <c r="Q45" s="319"/>
      <c r="R45" s="318"/>
      <c r="S45" s="320"/>
    </row>
    <row r="46" spans="1:97" x14ac:dyDescent="0.25">
      <c r="D46" s="150"/>
      <c r="E46" s="150"/>
      <c r="F46" s="150"/>
      <c r="G46" s="150"/>
      <c r="H46" s="150"/>
      <c r="I46" s="150"/>
      <c r="J46" s="322"/>
      <c r="K46" s="322"/>
      <c r="L46" s="318"/>
      <c r="N46" s="318"/>
      <c r="O46" s="318"/>
      <c r="P46" s="319"/>
      <c r="Q46" s="318"/>
      <c r="R46" s="320"/>
    </row>
    <row r="47" spans="1:97" x14ac:dyDescent="0.25">
      <c r="D47" s="150"/>
      <c r="E47" s="150"/>
      <c r="F47" s="150"/>
      <c r="G47" s="150"/>
      <c r="H47" s="150"/>
      <c r="I47" s="150"/>
      <c r="J47"/>
      <c r="K47"/>
    </row>
  </sheetData>
  <mergeCells count="13">
    <mergeCell ref="J40:N40"/>
    <mergeCell ref="AP2:CS2"/>
    <mergeCell ref="E2:H2"/>
    <mergeCell ref="K2:N2"/>
    <mergeCell ref="CA3:CF3"/>
    <mergeCell ref="CG3:CL3"/>
    <mergeCell ref="CM3:CR3"/>
    <mergeCell ref="BH3:BN3"/>
    <mergeCell ref="BO3:BT3"/>
    <mergeCell ref="BU3:BZ3"/>
    <mergeCell ref="AP3:AU3"/>
    <mergeCell ref="AV3:BA3"/>
    <mergeCell ref="BB3:BG3"/>
  </mergeCells>
  <conditionalFormatting sqref="R4">
    <cfRule type="containsText" dxfId="11" priority="10" operator="containsText" text="Tramo 3: Sin Asig. C. Variable">
      <formula>NOT(ISERROR(SEARCH("Tramo 3: Sin Asig. C. Variable",R4)))</formula>
    </cfRule>
    <cfRule type="containsText" dxfId="10" priority="11" operator="containsText" text="Tramo 2: 50% C. Variable">
      <formula>NOT(ISERROR(SEARCH("Tramo 2: 50% C. Variable",R4)))</formula>
    </cfRule>
    <cfRule type="containsText" dxfId="9" priority="12" operator="containsText" text="Tramo 1: 100% C. Variable">
      <formula>NOT(ISERROR(SEARCH("Tramo 1: 100% C. Variable",R4)))</formula>
    </cfRule>
  </conditionalFormatting>
  <conditionalFormatting sqref="R5:R20">
    <cfRule type="containsText" dxfId="8" priority="7" operator="containsText" text="Tramo 3: Sin Asig. C. Variable">
      <formula>NOT(ISERROR(SEARCH("Tramo 3: Sin Asig. C. Variable",R5)))</formula>
    </cfRule>
    <cfRule type="containsText" dxfId="7" priority="8" operator="containsText" text="Tramo 2: 50% C. Variable">
      <formula>NOT(ISERROR(SEARCH("Tramo 2: 50% C. Variable",R5)))</formula>
    </cfRule>
    <cfRule type="containsText" dxfId="6" priority="9" operator="containsText" text="Tramo 1: 100% C. Variable">
      <formula>NOT(ISERROR(SEARCH("Tramo 1: 100% C. Variable",R5)))</formula>
    </cfRule>
  </conditionalFormatting>
  <conditionalFormatting sqref="R22:R28">
    <cfRule type="containsText" dxfId="5" priority="4" operator="containsText" text="Tramo 3: Sin Asig. C. Variable">
      <formula>NOT(ISERROR(SEARCH("Tramo 3: Sin Asig. C. Variable",R22)))</formula>
    </cfRule>
    <cfRule type="containsText" dxfId="4" priority="5" operator="containsText" text="Tramo 2: 50% C. Variable">
      <formula>NOT(ISERROR(SEARCH("Tramo 2: 50% C. Variable",R22)))</formula>
    </cfRule>
    <cfRule type="containsText" dxfId="3" priority="6" operator="containsText" text="Tramo 1: 100% C. Variable">
      <formula>NOT(ISERROR(SEARCH("Tramo 1: 100% C. Variable",R22)))</formula>
    </cfRule>
  </conditionalFormatting>
  <conditionalFormatting sqref="R30:R36">
    <cfRule type="containsText" dxfId="2" priority="1" operator="containsText" text="Tramo 3: Sin Asig. C. Variable">
      <formula>NOT(ISERROR(SEARCH("Tramo 3: Sin Asig. C. Variable",R30)))</formula>
    </cfRule>
    <cfRule type="containsText" dxfId="1" priority="2" operator="containsText" text="Tramo 2: 50% C. Variable">
      <formula>NOT(ISERROR(SEARCH("Tramo 2: 50% C. Variable",R30)))</formula>
    </cfRule>
    <cfRule type="containsText" dxfId="0" priority="3" operator="containsText" text="Tramo 1: 100% C. Variable">
      <formula>NOT(ISERROR(SEARCH("Tramo 1: 100% C. Variable",R30)))</formula>
    </cfRule>
  </conditionalFormatting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CF943-FDE5-4629-B3D3-2DED6C962B8C}">
  <dimension ref="B1:H47"/>
  <sheetViews>
    <sheetView showGridLines="0" zoomScale="110" zoomScaleNormal="110" workbookViewId="0">
      <selection activeCell="I3" sqref="I3"/>
    </sheetView>
  </sheetViews>
  <sheetFormatPr baseColWidth="10" defaultRowHeight="15" x14ac:dyDescent="0.25"/>
  <cols>
    <col min="2" max="2" width="23.5703125" bestFit="1" customWidth="1"/>
    <col min="4" max="4" width="20.28515625" customWidth="1"/>
    <col min="5" max="6" width="12.42578125" style="225" customWidth="1"/>
    <col min="7" max="7" width="17.42578125" customWidth="1"/>
    <col min="8" max="8" width="13" hidden="1" customWidth="1"/>
  </cols>
  <sheetData>
    <row r="1" spans="2:8" x14ac:dyDescent="0.25">
      <c r="E1" s="143"/>
      <c r="F1" s="143"/>
    </row>
    <row r="2" spans="2:8" ht="18.75" customHeight="1" x14ac:dyDescent="0.25">
      <c r="B2" s="602" t="s">
        <v>75</v>
      </c>
      <c r="C2" s="629" t="s">
        <v>127</v>
      </c>
      <c r="D2" s="630"/>
      <c r="E2" s="630"/>
      <c r="F2" s="630"/>
      <c r="G2" s="630"/>
      <c r="H2" s="630"/>
    </row>
    <row r="3" spans="2:8" ht="16.5" customHeight="1" x14ac:dyDescent="0.25">
      <c r="B3" s="603"/>
      <c r="C3" s="796"/>
      <c r="D3" s="797"/>
      <c r="E3" s="797"/>
      <c r="F3" s="797"/>
      <c r="G3" s="797"/>
      <c r="H3" s="797"/>
    </row>
    <row r="4" spans="2:8" x14ac:dyDescent="0.25">
      <c r="E4" s="175"/>
      <c r="F4" s="175"/>
    </row>
    <row r="5" spans="2:8" ht="15" customHeight="1" x14ac:dyDescent="0.25">
      <c r="B5" s="798" t="s">
        <v>40</v>
      </c>
      <c r="C5" s="716" t="s">
        <v>41</v>
      </c>
      <c r="D5" s="800" t="s">
        <v>247</v>
      </c>
      <c r="E5" s="800" t="s">
        <v>1</v>
      </c>
      <c r="F5" s="800" t="s">
        <v>2</v>
      </c>
      <c r="G5" s="800" t="s">
        <v>128</v>
      </c>
      <c r="H5" s="800" t="s">
        <v>106</v>
      </c>
    </row>
    <row r="6" spans="2:8" x14ac:dyDescent="0.25">
      <c r="B6" s="799"/>
      <c r="C6" s="717"/>
      <c r="D6" s="742"/>
      <c r="E6" s="742"/>
      <c r="F6" s="742"/>
      <c r="G6" s="742"/>
      <c r="H6" s="742"/>
    </row>
    <row r="7" spans="2:8" ht="15.75" x14ac:dyDescent="0.25">
      <c r="B7" s="71" t="s">
        <v>6</v>
      </c>
      <c r="C7" s="71" t="s">
        <v>7</v>
      </c>
      <c r="D7" s="253">
        <v>0.09</v>
      </c>
      <c r="E7" s="175"/>
      <c r="F7" s="175"/>
      <c r="G7" s="12" t="s">
        <v>129</v>
      </c>
      <c r="H7" s="13">
        <v>0</v>
      </c>
    </row>
    <row r="8" spans="2:8" ht="15.75" x14ac:dyDescent="0.25">
      <c r="B8" s="71" t="s">
        <v>8</v>
      </c>
      <c r="C8" s="71" t="s">
        <v>7</v>
      </c>
      <c r="D8" s="253">
        <v>0.12</v>
      </c>
      <c r="E8" s="175"/>
      <c r="F8" s="175"/>
      <c r="G8" s="12" t="s">
        <v>129</v>
      </c>
      <c r="H8" s="13">
        <v>0.16666666666666666</v>
      </c>
    </row>
    <row r="9" spans="2:8" ht="15.75" x14ac:dyDescent="0.25">
      <c r="B9" s="71" t="s">
        <v>9</v>
      </c>
      <c r="C9" s="71" t="s">
        <v>7</v>
      </c>
      <c r="D9" s="253">
        <v>0.18</v>
      </c>
      <c r="E9" s="175"/>
      <c r="F9" s="175"/>
      <c r="G9" s="12" t="s">
        <v>129</v>
      </c>
      <c r="H9" s="13">
        <v>9.0909090909090912E-2</v>
      </c>
    </row>
    <row r="10" spans="2:8" ht="15.75" x14ac:dyDescent="0.25">
      <c r="B10" s="71" t="s">
        <v>10</v>
      </c>
      <c r="C10" s="71" t="s">
        <v>7</v>
      </c>
      <c r="D10" s="253">
        <v>0.42</v>
      </c>
      <c r="E10" s="175"/>
      <c r="F10" s="175"/>
      <c r="G10" s="12" t="s">
        <v>129</v>
      </c>
      <c r="H10" s="13">
        <v>0.14285714285714285</v>
      </c>
    </row>
    <row r="11" spans="2:8" ht="15.75" x14ac:dyDescent="0.25">
      <c r="B11" s="71" t="s">
        <v>11</v>
      </c>
      <c r="C11" s="71" t="s">
        <v>7</v>
      </c>
      <c r="D11" s="253">
        <v>0.18</v>
      </c>
      <c r="E11" s="175"/>
      <c r="F11" s="175"/>
      <c r="G11" s="12" t="s">
        <v>129</v>
      </c>
      <c r="H11" s="13">
        <v>0.25</v>
      </c>
    </row>
    <row r="12" spans="2:8" ht="15.75" x14ac:dyDescent="0.25">
      <c r="B12" s="71" t="s">
        <v>12</v>
      </c>
      <c r="C12" s="71" t="s">
        <v>7</v>
      </c>
      <c r="D12" s="253">
        <v>0.11</v>
      </c>
      <c r="E12" s="175"/>
      <c r="F12" s="175"/>
      <c r="G12" s="12" t="s">
        <v>129</v>
      </c>
      <c r="H12" s="13">
        <v>0.25</v>
      </c>
    </row>
    <row r="13" spans="2:8" ht="15.75" x14ac:dyDescent="0.25">
      <c r="B13" s="71" t="s">
        <v>13</v>
      </c>
      <c r="C13" s="71" t="s">
        <v>7</v>
      </c>
      <c r="D13" s="253">
        <v>0.16</v>
      </c>
      <c r="E13" s="175"/>
      <c r="F13" s="175"/>
      <c r="G13" s="12" t="s">
        <v>129</v>
      </c>
      <c r="H13" s="13">
        <v>0.25</v>
      </c>
    </row>
    <row r="14" spans="2:8" ht="15.75" x14ac:dyDescent="0.25">
      <c r="B14" s="71" t="s">
        <v>14</v>
      </c>
      <c r="C14" s="71" t="s">
        <v>7</v>
      </c>
      <c r="D14" s="253">
        <v>0.14000000000000001</v>
      </c>
      <c r="E14" s="175"/>
      <c r="F14" s="175"/>
      <c r="G14" s="12" t="s">
        <v>129</v>
      </c>
      <c r="H14" s="13">
        <v>0.125</v>
      </c>
    </row>
    <row r="15" spans="2:8" ht="15.75" x14ac:dyDescent="0.25">
      <c r="B15" s="71" t="s">
        <v>15</v>
      </c>
      <c r="C15" s="71" t="s">
        <v>7</v>
      </c>
      <c r="D15" s="253">
        <v>0.06</v>
      </c>
      <c r="E15" s="175"/>
      <c r="F15" s="175"/>
      <c r="G15" s="12" t="s">
        <v>129</v>
      </c>
      <c r="H15" s="13">
        <v>0.2857142857142857</v>
      </c>
    </row>
    <row r="16" spans="2:8" ht="15.75" x14ac:dyDescent="0.25">
      <c r="B16" s="71" t="s">
        <v>16</v>
      </c>
      <c r="C16" s="71" t="s">
        <v>7</v>
      </c>
      <c r="D16" s="253">
        <v>0.16</v>
      </c>
      <c r="E16" s="175"/>
      <c r="F16" s="175"/>
      <c r="G16" s="12" t="s">
        <v>129</v>
      </c>
      <c r="H16" s="13">
        <v>0.2</v>
      </c>
    </row>
    <row r="17" spans="2:8" ht="15.75" x14ac:dyDescent="0.25">
      <c r="B17" s="71" t="s">
        <v>17</v>
      </c>
      <c r="C17" s="71" t="s">
        <v>7</v>
      </c>
      <c r="D17" s="253">
        <v>0.2</v>
      </c>
      <c r="E17" s="175"/>
      <c r="F17" s="175"/>
      <c r="G17" s="12" t="s">
        <v>129</v>
      </c>
      <c r="H17" s="13">
        <v>0.18181818181818182</v>
      </c>
    </row>
    <row r="18" spans="2:8" ht="15.75" x14ac:dyDescent="0.25">
      <c r="B18" s="71" t="s">
        <v>18</v>
      </c>
      <c r="C18" s="71" t="s">
        <v>7</v>
      </c>
      <c r="D18" s="253">
        <v>0.17</v>
      </c>
      <c r="E18" s="175"/>
      <c r="F18" s="175"/>
      <c r="G18" s="12" t="s">
        <v>129</v>
      </c>
      <c r="H18" s="13">
        <v>0.14285714285714285</v>
      </c>
    </row>
    <row r="19" spans="2:8" ht="15.75" x14ac:dyDescent="0.25">
      <c r="B19" s="71" t="s">
        <v>19</v>
      </c>
      <c r="C19" s="71" t="s">
        <v>7</v>
      </c>
      <c r="D19" s="253">
        <v>0.21</v>
      </c>
      <c r="E19" s="175"/>
      <c r="F19" s="175"/>
      <c r="G19" s="12" t="s">
        <v>129</v>
      </c>
      <c r="H19" s="13">
        <v>0.7</v>
      </c>
    </row>
    <row r="20" spans="2:8" ht="15.75" x14ac:dyDescent="0.25">
      <c r="B20" s="71" t="s">
        <v>20</v>
      </c>
      <c r="C20" s="71" t="s">
        <v>7</v>
      </c>
      <c r="D20" s="253">
        <v>0.27</v>
      </c>
      <c r="E20" s="175"/>
      <c r="F20" s="175"/>
      <c r="G20" s="12" t="s">
        <v>129</v>
      </c>
      <c r="H20" s="13">
        <v>0.18181818181818182</v>
      </c>
    </row>
    <row r="21" spans="2:8" ht="15.75" x14ac:dyDescent="0.25">
      <c r="B21" s="71" t="s">
        <v>21</v>
      </c>
      <c r="C21" s="71" t="s">
        <v>7</v>
      </c>
      <c r="D21" s="253">
        <v>0.12</v>
      </c>
      <c r="E21" s="175"/>
      <c r="F21" s="175"/>
      <c r="G21" s="12" t="s">
        <v>129</v>
      </c>
      <c r="H21" s="13">
        <v>0.45454545454545453</v>
      </c>
    </row>
    <row r="22" spans="2:8" ht="15.75" x14ac:dyDescent="0.25">
      <c r="B22" s="71" t="s">
        <v>22</v>
      </c>
      <c r="C22" s="71" t="s">
        <v>7</v>
      </c>
      <c r="D22" s="253">
        <v>0.19</v>
      </c>
      <c r="E22" s="175"/>
      <c r="F22" s="175"/>
      <c r="G22" s="12" t="s">
        <v>129</v>
      </c>
      <c r="H22" s="13">
        <v>0.41666666666666669</v>
      </c>
    </row>
    <row r="23" spans="2:8" ht="15.75" x14ac:dyDescent="0.25">
      <c r="B23" s="71" t="s">
        <v>23</v>
      </c>
      <c r="C23" s="71" t="s">
        <v>7</v>
      </c>
      <c r="D23" s="253">
        <v>0.12</v>
      </c>
      <c r="E23" s="175"/>
      <c r="F23" s="175"/>
      <c r="G23" s="12" t="s">
        <v>129</v>
      </c>
      <c r="H23" s="13">
        <v>1</v>
      </c>
    </row>
    <row r="24" spans="2:8" ht="15.75" x14ac:dyDescent="0.25">
      <c r="B24" s="93"/>
      <c r="C24" s="73" t="s">
        <v>7</v>
      </c>
      <c r="D24" s="73"/>
      <c r="E24" s="116">
        <f>SUM(E7:E23)</f>
        <v>0</v>
      </c>
      <c r="F24" s="116">
        <f>SUM(F7:F23)</f>
        <v>0</v>
      </c>
      <c r="G24" s="27"/>
      <c r="H24" s="28"/>
    </row>
    <row r="25" spans="2:8" ht="15.75" x14ac:dyDescent="0.25">
      <c r="B25" s="71" t="s">
        <v>24</v>
      </c>
      <c r="C25" s="71" t="s">
        <v>25</v>
      </c>
      <c r="D25" s="253">
        <v>0.27</v>
      </c>
      <c r="E25" s="175"/>
      <c r="F25" s="175"/>
      <c r="G25" s="12" t="s">
        <v>129</v>
      </c>
      <c r="H25" s="13">
        <v>0.46153846153846156</v>
      </c>
    </row>
    <row r="26" spans="2:8" ht="15.75" x14ac:dyDescent="0.25">
      <c r="B26" s="71" t="s">
        <v>26</v>
      </c>
      <c r="C26" s="71" t="s">
        <v>25</v>
      </c>
      <c r="D26" s="253">
        <v>0.2</v>
      </c>
      <c r="E26" s="175"/>
      <c r="F26" s="175"/>
      <c r="G26" s="12" t="s">
        <v>129</v>
      </c>
      <c r="H26" s="13">
        <v>0.75</v>
      </c>
    </row>
    <row r="27" spans="2:8" ht="15.75" x14ac:dyDescent="0.25">
      <c r="B27" s="71" t="s">
        <v>27</v>
      </c>
      <c r="C27" s="71" t="s">
        <v>25</v>
      </c>
      <c r="D27" s="253">
        <v>0.31</v>
      </c>
      <c r="E27" s="175"/>
      <c r="F27" s="175"/>
      <c r="G27" s="12" t="s">
        <v>129</v>
      </c>
      <c r="H27" s="13">
        <v>0.36842105263157893</v>
      </c>
    </row>
    <row r="28" spans="2:8" ht="15.75" x14ac:dyDescent="0.25">
      <c r="B28" s="71" t="s">
        <v>28</v>
      </c>
      <c r="C28" s="71" t="s">
        <v>25</v>
      </c>
      <c r="D28" s="253">
        <v>0.37</v>
      </c>
      <c r="E28" s="175"/>
      <c r="F28" s="175"/>
      <c r="G28" s="12" t="s">
        <v>129</v>
      </c>
      <c r="H28" s="13">
        <v>0.6</v>
      </c>
    </row>
    <row r="29" spans="2:8" ht="15.75" x14ac:dyDescent="0.25">
      <c r="B29" s="71" t="s">
        <v>29</v>
      </c>
      <c r="C29" s="71" t="s">
        <v>25</v>
      </c>
      <c r="D29" s="253" t="s">
        <v>329</v>
      </c>
      <c r="E29" s="175"/>
      <c r="F29" s="175"/>
      <c r="G29" s="12" t="s">
        <v>129</v>
      </c>
      <c r="H29" s="13">
        <v>0.5</v>
      </c>
    </row>
    <row r="30" spans="2:8" ht="15.75" x14ac:dyDescent="0.25">
      <c r="B30" s="71" t="s">
        <v>30</v>
      </c>
      <c r="C30" s="71" t="s">
        <v>25</v>
      </c>
      <c r="D30" s="253">
        <v>0.2</v>
      </c>
      <c r="E30" s="175"/>
      <c r="F30" s="175"/>
      <c r="G30" s="12" t="s">
        <v>129</v>
      </c>
      <c r="H30" s="13">
        <v>0.42857142857142855</v>
      </c>
    </row>
    <row r="31" spans="2:8" ht="15.75" x14ac:dyDescent="0.25">
      <c r="B31" s="71" t="s">
        <v>31</v>
      </c>
      <c r="C31" s="71" t="s">
        <v>25</v>
      </c>
      <c r="D31" s="253">
        <v>0.16</v>
      </c>
      <c r="E31" s="175"/>
      <c r="F31" s="175"/>
      <c r="G31" s="12" t="s">
        <v>129</v>
      </c>
      <c r="H31" s="13">
        <v>0.33333333333333331</v>
      </c>
    </row>
    <row r="32" spans="2:8" ht="15.75" x14ac:dyDescent="0.25">
      <c r="B32" s="93"/>
      <c r="C32" s="73" t="s">
        <v>25</v>
      </c>
      <c r="D32" s="73"/>
      <c r="E32" s="116">
        <f>SUM(E25:E31)</f>
        <v>0</v>
      </c>
      <c r="F32" s="116">
        <f>SUM(F25:F31)</f>
        <v>0</v>
      </c>
      <c r="G32" s="27"/>
      <c r="H32" s="28"/>
    </row>
    <row r="33" spans="2:8" ht="15.75" x14ac:dyDescent="0.25">
      <c r="B33" s="71" t="s">
        <v>32</v>
      </c>
      <c r="C33" s="71" t="s">
        <v>33</v>
      </c>
      <c r="D33" s="253">
        <v>0.15</v>
      </c>
      <c r="E33" s="175"/>
      <c r="F33" s="175"/>
      <c r="G33" s="12" t="s">
        <v>129</v>
      </c>
      <c r="H33" s="13">
        <v>0.44444444444444442</v>
      </c>
    </row>
    <row r="34" spans="2:8" ht="15.75" x14ac:dyDescent="0.25">
      <c r="B34" s="71" t="s">
        <v>34</v>
      </c>
      <c r="C34" s="71" t="s">
        <v>33</v>
      </c>
      <c r="D34" s="253">
        <v>0.25</v>
      </c>
      <c r="E34" s="175"/>
      <c r="F34" s="175"/>
      <c r="G34" s="12" t="s">
        <v>129</v>
      </c>
      <c r="H34" s="13">
        <v>0.375</v>
      </c>
    </row>
    <row r="35" spans="2:8" ht="15.75" x14ac:dyDescent="0.25">
      <c r="B35" s="71" t="s">
        <v>35</v>
      </c>
      <c r="C35" s="71" t="s">
        <v>33</v>
      </c>
      <c r="D35" s="253">
        <v>0.14000000000000001</v>
      </c>
      <c r="E35" s="175"/>
      <c r="F35" s="175"/>
      <c r="G35" s="12" t="s">
        <v>129</v>
      </c>
      <c r="H35" s="13">
        <v>0.21428571428571427</v>
      </c>
    </row>
    <row r="36" spans="2:8" ht="15.75" x14ac:dyDescent="0.25">
      <c r="B36" s="71" t="s">
        <v>36</v>
      </c>
      <c r="C36" s="71" t="s">
        <v>33</v>
      </c>
      <c r="D36" s="253">
        <v>0.13</v>
      </c>
      <c r="E36" s="175"/>
      <c r="F36" s="175"/>
      <c r="G36" s="12" t="s">
        <v>129</v>
      </c>
      <c r="H36" s="13">
        <v>0.5</v>
      </c>
    </row>
    <row r="37" spans="2:8" ht="15.75" x14ac:dyDescent="0.25">
      <c r="B37" s="71" t="s">
        <v>37</v>
      </c>
      <c r="C37" s="71" t="s">
        <v>33</v>
      </c>
      <c r="D37" s="253">
        <v>0.18</v>
      </c>
      <c r="E37" s="175"/>
      <c r="F37" s="175"/>
      <c r="G37" s="12" t="s">
        <v>129</v>
      </c>
      <c r="H37" s="13">
        <v>0.16666666666666666</v>
      </c>
    </row>
    <row r="38" spans="2:8" ht="15.75" x14ac:dyDescent="0.25">
      <c r="B38" s="71" t="s">
        <v>38</v>
      </c>
      <c r="C38" s="71" t="s">
        <v>33</v>
      </c>
      <c r="D38" s="253">
        <v>0.15</v>
      </c>
      <c r="E38" s="175"/>
      <c r="F38" s="175"/>
      <c r="G38" s="12" t="s">
        <v>129</v>
      </c>
      <c r="H38" s="13">
        <v>0.16666666666666666</v>
      </c>
    </row>
    <row r="39" spans="2:8" ht="15.75" x14ac:dyDescent="0.25">
      <c r="B39" s="71" t="s">
        <v>39</v>
      </c>
      <c r="C39" s="71" t="s">
        <v>33</v>
      </c>
      <c r="D39" s="253">
        <v>0.22</v>
      </c>
      <c r="E39" s="175"/>
      <c r="F39" s="175"/>
      <c r="G39" s="12" t="s">
        <v>129</v>
      </c>
      <c r="H39" s="13">
        <v>0.2</v>
      </c>
    </row>
    <row r="40" spans="2:8" ht="15.75" x14ac:dyDescent="0.25">
      <c r="B40" s="93"/>
      <c r="C40" s="73" t="s">
        <v>33</v>
      </c>
      <c r="D40" s="73"/>
      <c r="E40" s="116">
        <f>SUM(E33:E39)</f>
        <v>0</v>
      </c>
      <c r="F40" s="116">
        <f>SUM(F33:F39)</f>
        <v>0</v>
      </c>
      <c r="G40" s="27"/>
    </row>
    <row r="41" spans="2:8" x14ac:dyDescent="0.25">
      <c r="E41" s="150"/>
      <c r="F41" s="150"/>
    </row>
    <row r="42" spans="2:8" x14ac:dyDescent="0.25">
      <c r="E42" s="150"/>
      <c r="F42" s="150"/>
    </row>
    <row r="43" spans="2:8" x14ac:dyDescent="0.25">
      <c r="E43" s="150"/>
      <c r="F43" s="150"/>
    </row>
    <row r="44" spans="2:8" x14ac:dyDescent="0.25">
      <c r="E44" s="150"/>
      <c r="F44" s="150"/>
    </row>
    <row r="45" spans="2:8" x14ac:dyDescent="0.25">
      <c r="E45" s="150"/>
      <c r="F45" s="150"/>
    </row>
    <row r="46" spans="2:8" x14ac:dyDescent="0.25">
      <c r="E46" s="150"/>
      <c r="F46" s="150"/>
    </row>
    <row r="47" spans="2:8" x14ac:dyDescent="0.25">
      <c r="E47" s="150"/>
      <c r="F47" s="150"/>
    </row>
  </sheetData>
  <mergeCells count="9">
    <mergeCell ref="B2:B3"/>
    <mergeCell ref="C2:H3"/>
    <mergeCell ref="B5:B6"/>
    <mergeCell ref="C5:C6"/>
    <mergeCell ref="G5:G6"/>
    <mergeCell ref="H5:H6"/>
    <mergeCell ref="D5:D6"/>
    <mergeCell ref="E5:E6"/>
    <mergeCell ref="F5:F6"/>
  </mergeCells>
  <phoneticPr fontId="3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249977111117893"/>
  </sheetPr>
  <dimension ref="B1:N41"/>
  <sheetViews>
    <sheetView showGridLines="0" zoomScaleNormal="100" workbookViewId="0">
      <selection activeCell="P4" sqref="P4"/>
    </sheetView>
  </sheetViews>
  <sheetFormatPr baseColWidth="10" defaultRowHeight="15" x14ac:dyDescent="0.25"/>
  <cols>
    <col min="1" max="1" width="12.7109375" customWidth="1"/>
    <col min="2" max="2" width="32.140625" customWidth="1"/>
    <col min="3" max="3" width="17.5703125" customWidth="1"/>
    <col min="4" max="10" width="11.42578125" customWidth="1"/>
    <col min="12" max="13" width="0" hidden="1" customWidth="1"/>
    <col min="14" max="14" width="15.5703125" customWidth="1"/>
  </cols>
  <sheetData>
    <row r="1" spans="2:14" ht="12.6" customHeight="1" x14ac:dyDescent="0.25">
      <c r="N1" t="s">
        <v>123</v>
      </c>
    </row>
    <row r="2" spans="2:14" ht="29.25" customHeight="1" x14ac:dyDescent="0.25">
      <c r="B2" s="595" t="s">
        <v>396</v>
      </c>
      <c r="C2" s="597" t="s">
        <v>0</v>
      </c>
      <c r="D2" s="597"/>
      <c r="E2" s="597"/>
      <c r="F2" s="597"/>
      <c r="G2" s="598" t="s">
        <v>3</v>
      </c>
      <c r="H2" s="599"/>
      <c r="I2" s="604" t="s">
        <v>134</v>
      </c>
      <c r="J2" s="605"/>
      <c r="K2" s="605"/>
      <c r="L2" s="605"/>
      <c r="M2" s="605"/>
      <c r="N2" s="605"/>
    </row>
    <row r="3" spans="2:14" ht="29.25" customHeight="1" x14ac:dyDescent="0.25">
      <c r="B3" s="596"/>
      <c r="C3" s="597"/>
      <c r="D3" s="597"/>
      <c r="E3" s="597"/>
      <c r="F3" s="597"/>
      <c r="G3" s="600">
        <v>0.9</v>
      </c>
      <c r="H3" s="601"/>
      <c r="I3" s="604" t="s">
        <v>135</v>
      </c>
      <c r="J3" s="605"/>
      <c r="K3" s="605"/>
      <c r="L3" s="605"/>
      <c r="M3" s="605"/>
      <c r="N3" s="605"/>
    </row>
    <row r="4" spans="2:14" ht="29.25" customHeight="1" x14ac:dyDescent="0.25">
      <c r="B4" s="105" t="s">
        <v>1</v>
      </c>
      <c r="C4" s="604" t="s">
        <v>136</v>
      </c>
      <c r="D4" s="605"/>
      <c r="E4" s="605"/>
      <c r="F4" s="605"/>
      <c r="G4" s="605"/>
      <c r="H4" s="605"/>
      <c r="I4" s="605"/>
      <c r="J4" s="605"/>
      <c r="K4" s="605"/>
      <c r="L4" s="605"/>
      <c r="M4" s="605"/>
      <c r="N4" s="605"/>
    </row>
    <row r="5" spans="2:14" ht="29.25" customHeight="1" x14ac:dyDescent="0.25">
      <c r="B5" s="105" t="s">
        <v>2</v>
      </c>
      <c r="C5" s="604" t="s">
        <v>145</v>
      </c>
      <c r="D5" s="605"/>
      <c r="E5" s="605"/>
      <c r="F5" s="605"/>
      <c r="G5" s="605"/>
      <c r="H5" s="605"/>
      <c r="I5" s="605"/>
      <c r="J5" s="605"/>
      <c r="K5" s="605"/>
      <c r="L5" s="605"/>
      <c r="M5" s="605"/>
      <c r="N5" s="605"/>
    </row>
    <row r="6" spans="2:14" ht="11.45" customHeight="1" x14ac:dyDescent="0.25"/>
    <row r="7" spans="2:14" x14ac:dyDescent="0.25">
      <c r="B7" s="602" t="s">
        <v>40</v>
      </c>
      <c r="C7" s="602" t="s">
        <v>41</v>
      </c>
      <c r="D7" s="606" t="s">
        <v>133</v>
      </c>
      <c r="E7" s="607"/>
      <c r="F7" s="608"/>
      <c r="G7" s="609" t="s">
        <v>43</v>
      </c>
      <c r="H7" s="609"/>
      <c r="I7" s="610" t="s">
        <v>94</v>
      </c>
      <c r="J7" s="611"/>
      <c r="K7" s="614" t="s">
        <v>138</v>
      </c>
      <c r="L7" s="616" t="s">
        <v>82</v>
      </c>
      <c r="M7" s="616" t="s">
        <v>83</v>
      </c>
      <c r="N7" s="612" t="s">
        <v>137</v>
      </c>
    </row>
    <row r="8" spans="2:14" x14ac:dyDescent="0.25">
      <c r="B8" s="603"/>
      <c r="C8" s="603"/>
      <c r="D8" s="372" t="s">
        <v>82</v>
      </c>
      <c r="E8" s="372" t="s">
        <v>83</v>
      </c>
      <c r="F8" s="372" t="s">
        <v>87</v>
      </c>
      <c r="G8" s="104" t="s">
        <v>92</v>
      </c>
      <c r="H8" s="104" t="s">
        <v>93</v>
      </c>
      <c r="I8" s="104" t="s">
        <v>92</v>
      </c>
      <c r="J8" s="104" t="s">
        <v>93</v>
      </c>
      <c r="K8" s="615"/>
      <c r="L8" s="617"/>
      <c r="M8" s="617"/>
      <c r="N8" s="613"/>
    </row>
    <row r="9" spans="2:14" x14ac:dyDescent="0.25">
      <c r="B9" s="79" t="s">
        <v>6</v>
      </c>
      <c r="C9" s="79" t="s">
        <v>7</v>
      </c>
      <c r="D9" s="373">
        <v>14</v>
      </c>
      <c r="E9" s="373">
        <v>15</v>
      </c>
      <c r="F9" s="374">
        <f t="shared" ref="F9:F14" si="0">D9/E9</f>
        <v>0.93333333333333335</v>
      </c>
      <c r="G9" s="375" t="str">
        <f>IF(F9&lt;$G$3,$G$3-F9,"-")</f>
        <v>-</v>
      </c>
      <c r="H9" s="376" t="str">
        <f>IFERROR(G9*E9,"-")</f>
        <v>-</v>
      </c>
      <c r="I9" s="377" t="str">
        <f t="shared" ref="I9:I15" si="1">IFERROR(G9*0.3,"-")</f>
        <v>-</v>
      </c>
      <c r="J9" s="376" t="str">
        <f>IFERROR(I9*E9,"-")</f>
        <v>-</v>
      </c>
      <c r="K9" s="378">
        <f>IFERROR((I9+F9),IF(F9&gt;=$G$3,$G$3))</f>
        <v>0.9</v>
      </c>
      <c r="L9" s="379">
        <f t="shared" ref="L9:L16" si="2">M9*K9</f>
        <v>13.5</v>
      </c>
      <c r="M9" s="379">
        <f>E9</f>
        <v>15</v>
      </c>
      <c r="N9" s="380">
        <v>0.9</v>
      </c>
    </row>
    <row r="10" spans="2:14" x14ac:dyDescent="0.25">
      <c r="B10" s="79" t="s">
        <v>8</v>
      </c>
      <c r="C10" s="79" t="s">
        <v>7</v>
      </c>
      <c r="D10" s="373">
        <v>6</v>
      </c>
      <c r="E10" s="373">
        <v>6</v>
      </c>
      <c r="F10" s="374">
        <f t="shared" si="0"/>
        <v>1</v>
      </c>
      <c r="G10" s="375" t="str">
        <f t="shared" ref="G10:G25" si="3">IF(F10&lt;$G$3,$G$3-F10,"-")</f>
        <v>-</v>
      </c>
      <c r="H10" s="376" t="str">
        <f>IFERROR(G10*E10,"-")</f>
        <v>-</v>
      </c>
      <c r="I10" s="375" t="str">
        <f t="shared" si="1"/>
        <v>-</v>
      </c>
      <c r="J10" s="376" t="str">
        <f t="shared" ref="J10:J25" si="4">IFERROR(I10*E10,"-")</f>
        <v>-</v>
      </c>
      <c r="K10" s="378">
        <f t="shared" ref="K10:K41" si="5">IFERROR((I10+F10),IF(F10&gt;=$G$3,$G$3))</f>
        <v>0.9</v>
      </c>
      <c r="L10" s="379">
        <f t="shared" si="2"/>
        <v>5.4</v>
      </c>
      <c r="M10" s="379">
        <f t="shared" ref="M10:M41" si="6">E10</f>
        <v>6</v>
      </c>
      <c r="N10" s="380">
        <v>0.9</v>
      </c>
    </row>
    <row r="11" spans="2:14" x14ac:dyDescent="0.25">
      <c r="B11" s="79" t="s">
        <v>9</v>
      </c>
      <c r="C11" s="79" t="s">
        <v>7</v>
      </c>
      <c r="D11" s="373">
        <v>2</v>
      </c>
      <c r="E11" s="373">
        <v>2</v>
      </c>
      <c r="F11" s="374">
        <f t="shared" si="0"/>
        <v>1</v>
      </c>
      <c r="G11" s="375" t="str">
        <f t="shared" si="3"/>
        <v>-</v>
      </c>
      <c r="H11" s="376" t="str">
        <f t="shared" ref="H11" si="7">IFERROR(G11*E11,"-")</f>
        <v>-</v>
      </c>
      <c r="I11" s="375" t="str">
        <f t="shared" si="1"/>
        <v>-</v>
      </c>
      <c r="J11" s="376" t="str">
        <f t="shared" si="4"/>
        <v>-</v>
      </c>
      <c r="K11" s="378">
        <f t="shared" si="5"/>
        <v>0.9</v>
      </c>
      <c r="L11" s="379">
        <f t="shared" si="2"/>
        <v>1.8</v>
      </c>
      <c r="M11" s="379">
        <f t="shared" si="6"/>
        <v>2</v>
      </c>
      <c r="N11" s="380">
        <v>0.9</v>
      </c>
    </row>
    <row r="12" spans="2:14" x14ac:dyDescent="0.25">
      <c r="B12" s="79" t="s">
        <v>10</v>
      </c>
      <c r="C12" s="79" t="s">
        <v>7</v>
      </c>
      <c r="D12" s="373">
        <v>6</v>
      </c>
      <c r="E12" s="373">
        <v>7</v>
      </c>
      <c r="F12" s="374">
        <f t="shared" si="0"/>
        <v>0.8571428571428571</v>
      </c>
      <c r="G12" s="375">
        <f>IF(F12&lt;$G$3,$G$3-F12,"-")</f>
        <v>4.2857142857142927E-2</v>
      </c>
      <c r="H12" s="381">
        <f>IFERROR(G12*E12,"-")</f>
        <v>0.30000000000000049</v>
      </c>
      <c r="I12" s="375">
        <f t="shared" si="1"/>
        <v>1.2857142857142878E-2</v>
      </c>
      <c r="J12" s="382">
        <f t="shared" si="4"/>
        <v>9.0000000000000149E-2</v>
      </c>
      <c r="K12" s="378">
        <f t="shared" si="5"/>
        <v>0.87</v>
      </c>
      <c r="L12" s="379">
        <f t="shared" si="2"/>
        <v>6.09</v>
      </c>
      <c r="M12" s="379">
        <f t="shared" si="6"/>
        <v>7</v>
      </c>
      <c r="N12" s="380">
        <v>0.9</v>
      </c>
    </row>
    <row r="13" spans="2:14" x14ac:dyDescent="0.25">
      <c r="B13" s="79" t="s">
        <v>11</v>
      </c>
      <c r="C13" s="79" t="s">
        <v>7</v>
      </c>
      <c r="D13" s="373">
        <v>13</v>
      </c>
      <c r="E13" s="373">
        <v>12</v>
      </c>
      <c r="F13" s="374">
        <f t="shared" si="0"/>
        <v>1.0833333333333333</v>
      </c>
      <c r="G13" s="375" t="str">
        <f t="shared" si="3"/>
        <v>-</v>
      </c>
      <c r="H13" s="381" t="str">
        <f t="shared" ref="H13:H15" si="8">IFERROR(G13*E13,"-")</f>
        <v>-</v>
      </c>
      <c r="I13" s="375" t="str">
        <f t="shared" si="1"/>
        <v>-</v>
      </c>
      <c r="J13" s="376" t="str">
        <f t="shared" si="4"/>
        <v>-</v>
      </c>
      <c r="K13" s="378">
        <f t="shared" si="5"/>
        <v>0.9</v>
      </c>
      <c r="L13" s="379">
        <f t="shared" si="2"/>
        <v>10.8</v>
      </c>
      <c r="M13" s="379">
        <f t="shared" si="6"/>
        <v>12</v>
      </c>
      <c r="N13" s="380">
        <v>0.9</v>
      </c>
    </row>
    <row r="14" spans="2:14" x14ac:dyDescent="0.25">
      <c r="B14" s="79" t="s">
        <v>12</v>
      </c>
      <c r="C14" s="79" t="s">
        <v>7</v>
      </c>
      <c r="D14" s="373">
        <v>8</v>
      </c>
      <c r="E14" s="373">
        <v>13</v>
      </c>
      <c r="F14" s="374">
        <f t="shared" si="0"/>
        <v>0.61538461538461542</v>
      </c>
      <c r="G14" s="375">
        <f t="shared" si="3"/>
        <v>0.2846153846153846</v>
      </c>
      <c r="H14" s="381">
        <f t="shared" si="8"/>
        <v>3.6999999999999997</v>
      </c>
      <c r="I14" s="375">
        <f t="shared" si="1"/>
        <v>8.5384615384615378E-2</v>
      </c>
      <c r="J14" s="382">
        <f t="shared" si="4"/>
        <v>1.1099999999999999</v>
      </c>
      <c r="K14" s="378">
        <f t="shared" si="5"/>
        <v>0.70076923076923081</v>
      </c>
      <c r="L14" s="379">
        <f t="shared" si="2"/>
        <v>9.1100000000000012</v>
      </c>
      <c r="M14" s="379">
        <f t="shared" si="6"/>
        <v>13</v>
      </c>
      <c r="N14" s="380">
        <v>0.9</v>
      </c>
    </row>
    <row r="15" spans="2:14" x14ac:dyDescent="0.25">
      <c r="B15" s="79" t="s">
        <v>13</v>
      </c>
      <c r="C15" s="79" t="s">
        <v>7</v>
      </c>
      <c r="D15" s="373">
        <v>15</v>
      </c>
      <c r="E15" s="373">
        <v>15</v>
      </c>
      <c r="F15" s="374">
        <f t="shared" ref="F15:F24" si="9">D15/E15</f>
        <v>1</v>
      </c>
      <c r="G15" s="375" t="str">
        <f t="shared" si="3"/>
        <v>-</v>
      </c>
      <c r="H15" s="381" t="str">
        <f t="shared" si="8"/>
        <v>-</v>
      </c>
      <c r="I15" s="377" t="str">
        <f t="shared" si="1"/>
        <v>-</v>
      </c>
      <c r="J15" s="376" t="str">
        <f t="shared" si="4"/>
        <v>-</v>
      </c>
      <c r="K15" s="378">
        <f t="shared" si="5"/>
        <v>0.9</v>
      </c>
      <c r="L15" s="379">
        <f t="shared" si="2"/>
        <v>13.5</v>
      </c>
      <c r="M15" s="379">
        <f t="shared" si="6"/>
        <v>15</v>
      </c>
      <c r="N15" s="380">
        <v>0.9</v>
      </c>
    </row>
    <row r="16" spans="2:14" x14ac:dyDescent="0.25">
      <c r="B16" s="79" t="s">
        <v>14</v>
      </c>
      <c r="C16" s="79" t="s">
        <v>7</v>
      </c>
      <c r="D16" s="373">
        <v>2</v>
      </c>
      <c r="E16" s="373">
        <v>4</v>
      </c>
      <c r="F16" s="374">
        <f t="shared" si="9"/>
        <v>0.5</v>
      </c>
      <c r="G16" s="375">
        <f t="shared" si="3"/>
        <v>0.4</v>
      </c>
      <c r="H16" s="381">
        <f>IFERROR(G16*E16,"-")</f>
        <v>1.6</v>
      </c>
      <c r="I16" s="377">
        <f t="shared" ref="I16:I25" si="10">IFERROR(G16*0.3,"-")</f>
        <v>0.12</v>
      </c>
      <c r="J16" s="382">
        <f t="shared" si="4"/>
        <v>0.48</v>
      </c>
      <c r="K16" s="378">
        <f t="shared" si="5"/>
        <v>0.62</v>
      </c>
      <c r="L16" s="379">
        <f t="shared" si="2"/>
        <v>2.48</v>
      </c>
      <c r="M16" s="379">
        <f t="shared" si="6"/>
        <v>4</v>
      </c>
      <c r="N16" s="380">
        <v>0.9</v>
      </c>
    </row>
    <row r="17" spans="2:14" x14ac:dyDescent="0.25">
      <c r="B17" s="79" t="s">
        <v>15</v>
      </c>
      <c r="C17" s="79" t="s">
        <v>7</v>
      </c>
      <c r="D17" s="373">
        <v>0</v>
      </c>
      <c r="E17" s="373">
        <v>1</v>
      </c>
      <c r="F17" s="374">
        <f t="shared" si="9"/>
        <v>0</v>
      </c>
      <c r="G17" s="375">
        <f t="shared" si="3"/>
        <v>0.9</v>
      </c>
      <c r="H17" s="381">
        <f t="shared" ref="H17:H22" si="11">IFERROR(G17*E17,"-")</f>
        <v>0.9</v>
      </c>
      <c r="I17" s="377">
        <f>IFERROR(G17*0.3,"-")</f>
        <v>0.27</v>
      </c>
      <c r="J17" s="382">
        <f t="shared" si="4"/>
        <v>0.27</v>
      </c>
      <c r="K17" s="378">
        <f t="shared" si="5"/>
        <v>0.27</v>
      </c>
      <c r="L17" s="379">
        <f t="shared" ref="L17" si="12">M17*K17</f>
        <v>0.27</v>
      </c>
      <c r="M17" s="379">
        <f t="shared" ref="M17" si="13">E17</f>
        <v>1</v>
      </c>
      <c r="N17" s="380">
        <v>0.9</v>
      </c>
    </row>
    <row r="18" spans="2:14" x14ac:dyDescent="0.25">
      <c r="B18" s="79" t="s">
        <v>16</v>
      </c>
      <c r="C18" s="79" t="s">
        <v>7</v>
      </c>
      <c r="D18" s="373">
        <v>6</v>
      </c>
      <c r="E18" s="373">
        <v>8</v>
      </c>
      <c r="F18" s="374">
        <f t="shared" si="9"/>
        <v>0.75</v>
      </c>
      <c r="G18" s="375">
        <f t="shared" si="3"/>
        <v>0.15000000000000002</v>
      </c>
      <c r="H18" s="381">
        <f t="shared" si="11"/>
        <v>1.2000000000000002</v>
      </c>
      <c r="I18" s="377">
        <f>IFERROR(G18*0.3,"-")</f>
        <v>4.5000000000000005E-2</v>
      </c>
      <c r="J18" s="382">
        <f t="shared" si="4"/>
        <v>0.36000000000000004</v>
      </c>
      <c r="K18" s="378">
        <f t="shared" si="5"/>
        <v>0.79500000000000004</v>
      </c>
      <c r="L18" s="379">
        <f t="shared" ref="L18:L22" si="14">M18*K18</f>
        <v>6.36</v>
      </c>
      <c r="M18" s="379">
        <f t="shared" si="6"/>
        <v>8</v>
      </c>
      <c r="N18" s="380">
        <v>0.9</v>
      </c>
    </row>
    <row r="19" spans="2:14" x14ac:dyDescent="0.25">
      <c r="B19" s="79" t="s">
        <v>17</v>
      </c>
      <c r="C19" s="79" t="s">
        <v>7</v>
      </c>
      <c r="D19" s="373">
        <v>9</v>
      </c>
      <c r="E19" s="373">
        <v>13</v>
      </c>
      <c r="F19" s="374">
        <f t="shared" si="9"/>
        <v>0.69230769230769229</v>
      </c>
      <c r="G19" s="375">
        <f t="shared" si="3"/>
        <v>0.20769230769230773</v>
      </c>
      <c r="H19" s="381">
        <f t="shared" si="11"/>
        <v>2.7000000000000006</v>
      </c>
      <c r="I19" s="377">
        <f t="shared" si="10"/>
        <v>6.2307692307692314E-2</v>
      </c>
      <c r="J19" s="376">
        <f t="shared" si="4"/>
        <v>0.81</v>
      </c>
      <c r="K19" s="378">
        <f t="shared" si="5"/>
        <v>0.75461538461538458</v>
      </c>
      <c r="L19" s="379">
        <f>M19*K19</f>
        <v>9.8099999999999987</v>
      </c>
      <c r="M19" s="379">
        <f>E19</f>
        <v>13</v>
      </c>
      <c r="N19" s="380">
        <v>0.9</v>
      </c>
    </row>
    <row r="20" spans="2:14" x14ac:dyDescent="0.25">
      <c r="B20" s="79" t="s">
        <v>18</v>
      </c>
      <c r="C20" s="79" t="s">
        <v>7</v>
      </c>
      <c r="D20" s="373">
        <v>4</v>
      </c>
      <c r="E20" s="373">
        <v>11</v>
      </c>
      <c r="F20" s="374">
        <f t="shared" si="9"/>
        <v>0.36363636363636365</v>
      </c>
      <c r="G20" s="375">
        <f t="shared" si="3"/>
        <v>0.53636363636363638</v>
      </c>
      <c r="H20" s="381">
        <f t="shared" si="11"/>
        <v>5.9</v>
      </c>
      <c r="I20" s="377">
        <f t="shared" si="10"/>
        <v>0.16090909090909092</v>
      </c>
      <c r="J20" s="376">
        <f t="shared" si="4"/>
        <v>1.77</v>
      </c>
      <c r="K20" s="378">
        <f t="shared" si="5"/>
        <v>0.52454545454545454</v>
      </c>
      <c r="L20" s="379">
        <f t="shared" si="14"/>
        <v>5.77</v>
      </c>
      <c r="M20" s="379">
        <f t="shared" si="6"/>
        <v>11</v>
      </c>
      <c r="N20" s="380">
        <v>0.9</v>
      </c>
    </row>
    <row r="21" spans="2:14" x14ac:dyDescent="0.25">
      <c r="B21" s="79" t="s">
        <v>19</v>
      </c>
      <c r="C21" s="79" t="s">
        <v>7</v>
      </c>
      <c r="D21" s="373">
        <v>2</v>
      </c>
      <c r="E21" s="373">
        <v>2</v>
      </c>
      <c r="F21" s="374">
        <f t="shared" si="9"/>
        <v>1</v>
      </c>
      <c r="G21" s="375" t="str">
        <f t="shared" si="3"/>
        <v>-</v>
      </c>
      <c r="H21" s="381" t="str">
        <f t="shared" si="11"/>
        <v>-</v>
      </c>
      <c r="I21" s="377" t="str">
        <f t="shared" si="10"/>
        <v>-</v>
      </c>
      <c r="J21" s="376" t="str">
        <f t="shared" si="4"/>
        <v>-</v>
      </c>
      <c r="K21" s="378">
        <f t="shared" si="5"/>
        <v>0.9</v>
      </c>
      <c r="L21" s="379">
        <f t="shared" si="14"/>
        <v>1.8</v>
      </c>
      <c r="M21" s="379">
        <f t="shared" si="6"/>
        <v>2</v>
      </c>
      <c r="N21" s="380">
        <v>0.9</v>
      </c>
    </row>
    <row r="22" spans="2:14" x14ac:dyDescent="0.25">
      <c r="B22" s="79" t="s">
        <v>20</v>
      </c>
      <c r="C22" s="79" t="s">
        <v>7</v>
      </c>
      <c r="D22" s="373">
        <v>6</v>
      </c>
      <c r="E22" s="373">
        <v>5</v>
      </c>
      <c r="F22" s="374">
        <f t="shared" si="9"/>
        <v>1.2</v>
      </c>
      <c r="G22" s="375" t="str">
        <f t="shared" si="3"/>
        <v>-</v>
      </c>
      <c r="H22" s="381" t="str">
        <f t="shared" si="11"/>
        <v>-</v>
      </c>
      <c r="I22" s="377" t="str">
        <f t="shared" si="10"/>
        <v>-</v>
      </c>
      <c r="J22" s="376" t="str">
        <f t="shared" si="4"/>
        <v>-</v>
      </c>
      <c r="K22" s="378">
        <f t="shared" si="5"/>
        <v>0.9</v>
      </c>
      <c r="L22" s="379">
        <f t="shared" si="14"/>
        <v>4.5</v>
      </c>
      <c r="M22" s="379">
        <f t="shared" si="6"/>
        <v>5</v>
      </c>
      <c r="N22" s="380">
        <v>0.9</v>
      </c>
    </row>
    <row r="23" spans="2:14" x14ac:dyDescent="0.25">
      <c r="B23" s="79" t="s">
        <v>21</v>
      </c>
      <c r="C23" s="79" t="s">
        <v>7</v>
      </c>
      <c r="D23" s="373">
        <v>9</v>
      </c>
      <c r="E23" s="373">
        <v>15</v>
      </c>
      <c r="F23" s="374">
        <f t="shared" si="9"/>
        <v>0.6</v>
      </c>
      <c r="G23" s="375">
        <f t="shared" si="3"/>
        <v>0.30000000000000004</v>
      </c>
      <c r="H23" s="381">
        <f>IFERROR(G23*E23,"-")</f>
        <v>4.5000000000000009</v>
      </c>
      <c r="I23" s="377">
        <f t="shared" si="10"/>
        <v>9.0000000000000011E-2</v>
      </c>
      <c r="J23" s="382">
        <f t="shared" si="4"/>
        <v>1.35</v>
      </c>
      <c r="K23" s="378">
        <f t="shared" si="5"/>
        <v>0.69</v>
      </c>
      <c r="L23" s="379">
        <f>M23*K23</f>
        <v>10.35</v>
      </c>
      <c r="M23" s="379">
        <f t="shared" si="6"/>
        <v>15</v>
      </c>
      <c r="N23" s="380">
        <v>0.9</v>
      </c>
    </row>
    <row r="24" spans="2:14" x14ac:dyDescent="0.25">
      <c r="B24" s="79" t="s">
        <v>22</v>
      </c>
      <c r="C24" s="79" t="s">
        <v>7</v>
      </c>
      <c r="D24" s="373">
        <v>1</v>
      </c>
      <c r="E24" s="373">
        <v>2</v>
      </c>
      <c r="F24" s="374">
        <f t="shared" si="9"/>
        <v>0.5</v>
      </c>
      <c r="G24" s="375">
        <f t="shared" si="3"/>
        <v>0.4</v>
      </c>
      <c r="H24" s="376">
        <f>IFERROR(G24*E24,"-")</f>
        <v>0.8</v>
      </c>
      <c r="I24" s="377">
        <f t="shared" si="10"/>
        <v>0.12</v>
      </c>
      <c r="J24" s="382">
        <f t="shared" si="4"/>
        <v>0.24</v>
      </c>
      <c r="K24" s="378">
        <f t="shared" si="5"/>
        <v>0.62</v>
      </c>
      <c r="L24" s="379">
        <f>M24*K24</f>
        <v>1.24</v>
      </c>
      <c r="M24" s="379">
        <f t="shared" si="6"/>
        <v>2</v>
      </c>
      <c r="N24" s="380">
        <v>0.9</v>
      </c>
    </row>
    <row r="25" spans="2:14" x14ac:dyDescent="0.25">
      <c r="B25" s="79" t="s">
        <v>23</v>
      </c>
      <c r="C25" s="79" t="s">
        <v>7</v>
      </c>
      <c r="D25" s="373">
        <v>8</v>
      </c>
      <c r="E25" s="373">
        <v>7</v>
      </c>
      <c r="F25" s="374">
        <f t="shared" ref="F25:F30" si="15">D25/E25</f>
        <v>1.1428571428571428</v>
      </c>
      <c r="G25" s="375" t="str">
        <f t="shared" si="3"/>
        <v>-</v>
      </c>
      <c r="H25" s="376" t="str">
        <f>IFERROR(G25*E25,"-")</f>
        <v>-</v>
      </c>
      <c r="I25" s="377" t="str">
        <f t="shared" si="10"/>
        <v>-</v>
      </c>
      <c r="J25" s="376" t="str">
        <f t="shared" si="4"/>
        <v>-</v>
      </c>
      <c r="K25" s="378">
        <f t="shared" si="5"/>
        <v>0.9</v>
      </c>
      <c r="L25" s="379">
        <f>M25*K25</f>
        <v>6.3</v>
      </c>
      <c r="M25" s="379">
        <f t="shared" si="6"/>
        <v>7</v>
      </c>
      <c r="N25" s="380">
        <v>0.9</v>
      </c>
    </row>
    <row r="26" spans="2:14" x14ac:dyDescent="0.25">
      <c r="B26" s="343"/>
      <c r="C26" s="344" t="s">
        <v>7</v>
      </c>
      <c r="D26" s="383">
        <f>SUM(D9:D25)</f>
        <v>111</v>
      </c>
      <c r="E26" s="383">
        <f>SUM(E9:E25)</f>
        <v>138</v>
      </c>
      <c r="F26" s="384">
        <f t="shared" si="15"/>
        <v>0.80434782608695654</v>
      </c>
      <c r="G26" s="385"/>
      <c r="H26" s="386"/>
      <c r="I26" s="385"/>
      <c r="J26" s="385"/>
      <c r="K26" s="385"/>
      <c r="L26" s="385"/>
      <c r="M26" s="386"/>
      <c r="N26" s="386"/>
    </row>
    <row r="27" spans="2:14" x14ac:dyDescent="0.25">
      <c r="B27" s="79" t="s">
        <v>24</v>
      </c>
      <c r="C27" s="79" t="s">
        <v>25</v>
      </c>
      <c r="D27" s="373">
        <v>3</v>
      </c>
      <c r="E27" s="373">
        <v>4</v>
      </c>
      <c r="F27" s="374">
        <f t="shared" si="15"/>
        <v>0.75</v>
      </c>
      <c r="G27" s="375">
        <f>IF(F27&lt;$G$3,$G$3-F27,"-")</f>
        <v>0.15000000000000002</v>
      </c>
      <c r="H27" s="376">
        <f t="shared" ref="H27:H33" si="16">IFERROR(G27*E27,"-")</f>
        <v>0.60000000000000009</v>
      </c>
      <c r="I27" s="377">
        <f>IFERROR(G27*0.3,"-")</f>
        <v>4.5000000000000005E-2</v>
      </c>
      <c r="J27" s="382">
        <f t="shared" ref="J27:J33" si="17">IFERROR(I27*E27,"-")</f>
        <v>0.18000000000000002</v>
      </c>
      <c r="K27" s="378">
        <f t="shared" si="5"/>
        <v>0.79500000000000004</v>
      </c>
      <c r="L27" s="379">
        <f t="shared" ref="L27:L33" si="18">M27*K27</f>
        <v>3.18</v>
      </c>
      <c r="M27" s="379">
        <f t="shared" si="6"/>
        <v>4</v>
      </c>
      <c r="N27" s="380">
        <v>0.9</v>
      </c>
    </row>
    <row r="28" spans="2:14" x14ac:dyDescent="0.25">
      <c r="B28" s="79" t="s">
        <v>26</v>
      </c>
      <c r="C28" s="79" t="s">
        <v>25</v>
      </c>
      <c r="D28" s="373">
        <v>1</v>
      </c>
      <c r="E28" s="373">
        <v>4</v>
      </c>
      <c r="F28" s="374">
        <f t="shared" si="15"/>
        <v>0.25</v>
      </c>
      <c r="G28" s="375">
        <f t="shared" ref="G28:G32" si="19">IF(F28&lt;$G$3,$G$3-F28,"-")</f>
        <v>0.65</v>
      </c>
      <c r="H28" s="376">
        <f t="shared" si="16"/>
        <v>2.6</v>
      </c>
      <c r="I28" s="377">
        <f t="shared" ref="I28:I33" si="20">IFERROR(G28*0.3,"-")</f>
        <v>0.19500000000000001</v>
      </c>
      <c r="J28" s="376">
        <f t="shared" si="17"/>
        <v>0.78</v>
      </c>
      <c r="K28" s="378">
        <f t="shared" si="5"/>
        <v>0.44500000000000001</v>
      </c>
      <c r="L28" s="379">
        <f t="shared" si="18"/>
        <v>1.78</v>
      </c>
      <c r="M28" s="379">
        <f t="shared" si="6"/>
        <v>4</v>
      </c>
      <c r="N28" s="380">
        <v>0.9</v>
      </c>
    </row>
    <row r="29" spans="2:14" x14ac:dyDescent="0.25">
      <c r="B29" s="79" t="s">
        <v>27</v>
      </c>
      <c r="C29" s="79" t="s">
        <v>25</v>
      </c>
      <c r="D29" s="373">
        <v>5</v>
      </c>
      <c r="E29" s="373">
        <v>4</v>
      </c>
      <c r="F29" s="374">
        <f t="shared" si="15"/>
        <v>1.25</v>
      </c>
      <c r="G29" s="375" t="str">
        <f t="shared" si="19"/>
        <v>-</v>
      </c>
      <c r="H29" s="376" t="str">
        <f t="shared" si="16"/>
        <v>-</v>
      </c>
      <c r="I29" s="377" t="str">
        <f t="shared" si="20"/>
        <v>-</v>
      </c>
      <c r="J29" s="376" t="str">
        <f t="shared" si="17"/>
        <v>-</v>
      </c>
      <c r="K29" s="378">
        <f t="shared" si="5"/>
        <v>0.9</v>
      </c>
      <c r="L29" s="379">
        <f t="shared" si="18"/>
        <v>3.6</v>
      </c>
      <c r="M29" s="379">
        <f t="shared" si="6"/>
        <v>4</v>
      </c>
      <c r="N29" s="380">
        <v>0.9</v>
      </c>
    </row>
    <row r="30" spans="2:14" x14ac:dyDescent="0.25">
      <c r="B30" s="79" t="s">
        <v>28</v>
      </c>
      <c r="C30" s="79" t="s">
        <v>25</v>
      </c>
      <c r="D30" s="373">
        <v>2</v>
      </c>
      <c r="E30" s="373">
        <v>2</v>
      </c>
      <c r="F30" s="374">
        <f t="shared" si="15"/>
        <v>1</v>
      </c>
      <c r="G30" s="375" t="str">
        <f t="shared" si="19"/>
        <v>-</v>
      </c>
      <c r="H30" s="376" t="str">
        <f t="shared" si="16"/>
        <v>-</v>
      </c>
      <c r="I30" s="377" t="str">
        <f t="shared" si="20"/>
        <v>-</v>
      </c>
      <c r="J30" s="376" t="str">
        <f t="shared" si="17"/>
        <v>-</v>
      </c>
      <c r="K30" s="378">
        <f t="shared" si="5"/>
        <v>0.9</v>
      </c>
      <c r="L30" s="379">
        <f t="shared" si="18"/>
        <v>1.8</v>
      </c>
      <c r="M30" s="379">
        <f t="shared" si="6"/>
        <v>2</v>
      </c>
      <c r="N30" s="380">
        <v>0.9</v>
      </c>
    </row>
    <row r="31" spans="2:14" x14ac:dyDescent="0.25">
      <c r="B31" s="79" t="s">
        <v>29</v>
      </c>
      <c r="C31" s="79" t="s">
        <v>25</v>
      </c>
      <c r="D31" s="373">
        <v>0</v>
      </c>
      <c r="E31" s="373">
        <v>0</v>
      </c>
      <c r="F31" s="374">
        <v>1</v>
      </c>
      <c r="G31" s="375" t="str">
        <f t="shared" si="19"/>
        <v>-</v>
      </c>
      <c r="H31" s="376" t="str">
        <f t="shared" si="16"/>
        <v>-</v>
      </c>
      <c r="I31" s="377" t="str">
        <f t="shared" si="20"/>
        <v>-</v>
      </c>
      <c r="J31" s="376" t="str">
        <f t="shared" si="17"/>
        <v>-</v>
      </c>
      <c r="K31" s="378">
        <f t="shared" si="5"/>
        <v>0.9</v>
      </c>
      <c r="L31" s="379">
        <f t="shared" si="18"/>
        <v>0</v>
      </c>
      <c r="M31" s="379">
        <f t="shared" si="6"/>
        <v>0</v>
      </c>
      <c r="N31" s="380">
        <v>0.9</v>
      </c>
    </row>
    <row r="32" spans="2:14" x14ac:dyDescent="0.25">
      <c r="B32" s="79" t="s">
        <v>30</v>
      </c>
      <c r="C32" s="79" t="s">
        <v>25</v>
      </c>
      <c r="D32" s="373">
        <v>1</v>
      </c>
      <c r="E32" s="373">
        <v>1</v>
      </c>
      <c r="F32" s="374">
        <f>D32/E32</f>
        <v>1</v>
      </c>
      <c r="G32" s="375" t="str">
        <f t="shared" si="19"/>
        <v>-</v>
      </c>
      <c r="H32" s="376" t="str">
        <f t="shared" si="16"/>
        <v>-</v>
      </c>
      <c r="I32" s="377" t="str">
        <f t="shared" si="20"/>
        <v>-</v>
      </c>
      <c r="J32" s="376" t="str">
        <f t="shared" si="17"/>
        <v>-</v>
      </c>
      <c r="K32" s="378">
        <f t="shared" si="5"/>
        <v>0.9</v>
      </c>
      <c r="L32" s="379">
        <f t="shared" si="18"/>
        <v>0.9</v>
      </c>
      <c r="M32" s="379">
        <f t="shared" si="6"/>
        <v>1</v>
      </c>
      <c r="N32" s="380">
        <v>0.9</v>
      </c>
    </row>
    <row r="33" spans="2:14" x14ac:dyDescent="0.25">
      <c r="B33" s="79" t="s">
        <v>31</v>
      </c>
      <c r="C33" s="79" t="s">
        <v>25</v>
      </c>
      <c r="D33" s="373">
        <v>2</v>
      </c>
      <c r="E33" s="373">
        <v>3</v>
      </c>
      <c r="F33" s="374">
        <f>D33/E33</f>
        <v>0.66666666666666663</v>
      </c>
      <c r="G33" s="375">
        <f>IF(F33&lt;$G$3,$G$3-F33,"-")</f>
        <v>0.23333333333333339</v>
      </c>
      <c r="H33" s="376">
        <f t="shared" si="16"/>
        <v>0.70000000000000018</v>
      </c>
      <c r="I33" s="377">
        <f t="shared" si="20"/>
        <v>7.0000000000000021E-2</v>
      </c>
      <c r="J33" s="382">
        <f t="shared" si="17"/>
        <v>0.21000000000000008</v>
      </c>
      <c r="K33" s="378">
        <f t="shared" si="5"/>
        <v>0.73666666666666669</v>
      </c>
      <c r="L33" s="379">
        <f t="shared" si="18"/>
        <v>2.21</v>
      </c>
      <c r="M33" s="379">
        <f t="shared" si="6"/>
        <v>3</v>
      </c>
      <c r="N33" s="380">
        <v>0.9</v>
      </c>
    </row>
    <row r="34" spans="2:14" x14ac:dyDescent="0.25">
      <c r="B34" s="343"/>
      <c r="C34" s="344" t="s">
        <v>25</v>
      </c>
      <c r="D34" s="383">
        <f>SUM(D27:D33)</f>
        <v>14</v>
      </c>
      <c r="E34" s="387">
        <f>SUM(E27:E33)</f>
        <v>18</v>
      </c>
      <c r="F34" s="384">
        <f>D34/E34</f>
        <v>0.77777777777777779</v>
      </c>
      <c r="G34" s="385"/>
      <c r="H34" s="386"/>
      <c r="I34" s="385"/>
      <c r="J34" s="385"/>
      <c r="K34" s="385"/>
      <c r="L34" s="385"/>
      <c r="M34" s="386"/>
      <c r="N34" s="386"/>
    </row>
    <row r="35" spans="2:14" x14ac:dyDescent="0.25">
      <c r="B35" s="79" t="s">
        <v>32</v>
      </c>
      <c r="C35" s="79" t="s">
        <v>33</v>
      </c>
      <c r="D35" s="373">
        <v>14</v>
      </c>
      <c r="E35" s="373">
        <v>19</v>
      </c>
      <c r="F35" s="374">
        <f>D35/E35</f>
        <v>0.73684210526315785</v>
      </c>
      <c r="G35" s="375">
        <f>IF(F35&lt;$G$3,$G$3-F35,"-")</f>
        <v>0.16315789473684217</v>
      </c>
      <c r="H35" s="381">
        <f>IFERROR(G35*E35,"-")</f>
        <v>3.1000000000000014</v>
      </c>
      <c r="I35" s="377">
        <f>IFERROR(G35*0.3,"-")</f>
        <v>4.8947368421052649E-2</v>
      </c>
      <c r="J35" s="376">
        <f t="shared" ref="J35:J41" si="21">IFERROR(I35*E35,"-")</f>
        <v>0.93000000000000038</v>
      </c>
      <c r="K35" s="378">
        <f t="shared" si="5"/>
        <v>0.78578947368421048</v>
      </c>
      <c r="L35" s="379">
        <f>M35*K35</f>
        <v>14.93</v>
      </c>
      <c r="M35" s="379">
        <f t="shared" si="6"/>
        <v>19</v>
      </c>
      <c r="N35" s="380">
        <v>0.9</v>
      </c>
    </row>
    <row r="36" spans="2:14" x14ac:dyDescent="0.25">
      <c r="B36" s="79" t="s">
        <v>34</v>
      </c>
      <c r="C36" s="79" t="s">
        <v>33</v>
      </c>
      <c r="D36" s="373">
        <v>9</v>
      </c>
      <c r="E36" s="373">
        <v>10</v>
      </c>
      <c r="F36" s="374">
        <f t="shared" ref="F36:F41" si="22">D36/E36</f>
        <v>0.9</v>
      </c>
      <c r="G36" s="375" t="str">
        <f t="shared" ref="G36:G41" si="23">IF(F36&lt;$G$3,$G$3-F36,"-")</f>
        <v>-</v>
      </c>
      <c r="H36" s="381" t="str">
        <f t="shared" ref="H36:H41" si="24">IFERROR(G36*E36,"-")</f>
        <v>-</v>
      </c>
      <c r="I36" s="377" t="str">
        <f t="shared" ref="I36:I41" si="25">IFERROR(G36*0.3,"-")</f>
        <v>-</v>
      </c>
      <c r="J36" s="376" t="str">
        <f t="shared" si="21"/>
        <v>-</v>
      </c>
      <c r="K36" s="378">
        <f t="shared" si="5"/>
        <v>0.9</v>
      </c>
      <c r="L36" s="379">
        <f>M36*K36</f>
        <v>9</v>
      </c>
      <c r="M36" s="379">
        <f t="shared" si="6"/>
        <v>10</v>
      </c>
      <c r="N36" s="380">
        <v>0.9</v>
      </c>
    </row>
    <row r="37" spans="2:14" x14ac:dyDescent="0.25">
      <c r="B37" s="79" t="s">
        <v>35</v>
      </c>
      <c r="C37" s="79" t="s">
        <v>33</v>
      </c>
      <c r="D37" s="373">
        <v>6</v>
      </c>
      <c r="E37" s="373">
        <v>9</v>
      </c>
      <c r="F37" s="374">
        <f t="shared" si="22"/>
        <v>0.66666666666666663</v>
      </c>
      <c r="G37" s="375">
        <f t="shared" si="23"/>
        <v>0.23333333333333339</v>
      </c>
      <c r="H37" s="381">
        <f t="shared" si="24"/>
        <v>2.1000000000000005</v>
      </c>
      <c r="I37" s="377">
        <f t="shared" si="25"/>
        <v>7.0000000000000021E-2</v>
      </c>
      <c r="J37" s="376">
        <f t="shared" si="21"/>
        <v>0.63000000000000023</v>
      </c>
      <c r="K37" s="378">
        <f t="shared" si="5"/>
        <v>0.73666666666666669</v>
      </c>
      <c r="L37" s="379">
        <f>M37*K37</f>
        <v>6.63</v>
      </c>
      <c r="M37" s="379">
        <f t="shared" si="6"/>
        <v>9</v>
      </c>
      <c r="N37" s="380">
        <v>0.9</v>
      </c>
    </row>
    <row r="38" spans="2:14" x14ac:dyDescent="0.25">
      <c r="B38" s="79" t="s">
        <v>36</v>
      </c>
      <c r="C38" s="79" t="s">
        <v>33</v>
      </c>
      <c r="D38" s="373">
        <v>17</v>
      </c>
      <c r="E38" s="373">
        <v>15</v>
      </c>
      <c r="F38" s="374">
        <f t="shared" si="22"/>
        <v>1.1333333333333333</v>
      </c>
      <c r="G38" s="375" t="str">
        <f t="shared" si="23"/>
        <v>-</v>
      </c>
      <c r="H38" s="381" t="str">
        <f t="shared" si="24"/>
        <v>-</v>
      </c>
      <c r="I38" s="377" t="str">
        <f t="shared" si="25"/>
        <v>-</v>
      </c>
      <c r="J38" s="376" t="str">
        <f t="shared" si="21"/>
        <v>-</v>
      </c>
      <c r="K38" s="378">
        <f t="shared" si="5"/>
        <v>0.9</v>
      </c>
      <c r="L38" s="379">
        <f>M38*K38</f>
        <v>13.5</v>
      </c>
      <c r="M38" s="379">
        <f t="shared" si="6"/>
        <v>15</v>
      </c>
      <c r="N38" s="380">
        <v>0.9</v>
      </c>
    </row>
    <row r="39" spans="2:14" x14ac:dyDescent="0.25">
      <c r="B39" s="79" t="s">
        <v>37</v>
      </c>
      <c r="C39" s="79" t="s">
        <v>33</v>
      </c>
      <c r="D39" s="373">
        <v>11</v>
      </c>
      <c r="E39" s="373">
        <v>12</v>
      </c>
      <c r="F39" s="374">
        <f t="shared" si="22"/>
        <v>0.91666666666666663</v>
      </c>
      <c r="G39" s="375" t="str">
        <f t="shared" si="23"/>
        <v>-</v>
      </c>
      <c r="H39" s="381" t="str">
        <f t="shared" si="24"/>
        <v>-</v>
      </c>
      <c r="I39" s="377" t="str">
        <f t="shared" si="25"/>
        <v>-</v>
      </c>
      <c r="J39" s="376" t="str">
        <f t="shared" si="21"/>
        <v>-</v>
      </c>
      <c r="K39" s="378">
        <f t="shared" si="5"/>
        <v>0.9</v>
      </c>
      <c r="L39" s="379">
        <f>M39*K39</f>
        <v>10.8</v>
      </c>
      <c r="M39" s="379">
        <f t="shared" si="6"/>
        <v>12</v>
      </c>
      <c r="N39" s="380">
        <v>0.9</v>
      </c>
    </row>
    <row r="40" spans="2:14" x14ac:dyDescent="0.25">
      <c r="B40" s="79" t="s">
        <v>38</v>
      </c>
      <c r="C40" s="79" t="s">
        <v>33</v>
      </c>
      <c r="D40" s="373">
        <v>5</v>
      </c>
      <c r="E40" s="373">
        <v>2</v>
      </c>
      <c r="F40" s="374">
        <f t="shared" si="22"/>
        <v>2.5</v>
      </c>
      <c r="G40" s="375" t="str">
        <f t="shared" si="23"/>
        <v>-</v>
      </c>
      <c r="H40" s="376" t="str">
        <f t="shared" si="24"/>
        <v>-</v>
      </c>
      <c r="I40" s="377" t="str">
        <f t="shared" si="25"/>
        <v>-</v>
      </c>
      <c r="J40" s="376" t="str">
        <f t="shared" si="21"/>
        <v>-</v>
      </c>
      <c r="K40" s="378">
        <f t="shared" si="5"/>
        <v>0.9</v>
      </c>
      <c r="L40" s="379">
        <f t="shared" ref="L40:L41" si="26">M40*K40</f>
        <v>1.8</v>
      </c>
      <c r="M40" s="379">
        <f t="shared" si="6"/>
        <v>2</v>
      </c>
      <c r="N40" s="380">
        <v>0.9</v>
      </c>
    </row>
    <row r="41" spans="2:14" x14ac:dyDescent="0.25">
      <c r="B41" s="79" t="s">
        <v>39</v>
      </c>
      <c r="C41" s="79" t="s">
        <v>33</v>
      </c>
      <c r="D41" s="373">
        <v>9</v>
      </c>
      <c r="E41" s="373">
        <v>13</v>
      </c>
      <c r="F41" s="374">
        <f t="shared" si="22"/>
        <v>0.69230769230769229</v>
      </c>
      <c r="G41" s="375">
        <f t="shared" si="23"/>
        <v>0.20769230769230773</v>
      </c>
      <c r="H41" s="376">
        <f t="shared" si="24"/>
        <v>2.7000000000000006</v>
      </c>
      <c r="I41" s="377">
        <f t="shared" si="25"/>
        <v>6.2307692307692314E-2</v>
      </c>
      <c r="J41" s="376">
        <f t="shared" si="21"/>
        <v>0.81</v>
      </c>
      <c r="K41" s="378">
        <f t="shared" si="5"/>
        <v>0.75461538461538458</v>
      </c>
      <c r="L41" s="379">
        <f t="shared" si="26"/>
        <v>9.8099999999999987</v>
      </c>
      <c r="M41" s="379">
        <f t="shared" si="6"/>
        <v>13</v>
      </c>
      <c r="N41" s="380">
        <v>0.9</v>
      </c>
    </row>
  </sheetData>
  <mergeCells count="17">
    <mergeCell ref="I2:N2"/>
    <mergeCell ref="I3:N3"/>
    <mergeCell ref="C4:N4"/>
    <mergeCell ref="C5:N5"/>
    <mergeCell ref="D7:F7"/>
    <mergeCell ref="G7:H7"/>
    <mergeCell ref="I7:J7"/>
    <mergeCell ref="N7:N8"/>
    <mergeCell ref="K7:K8"/>
    <mergeCell ref="L7:L8"/>
    <mergeCell ref="M7:M8"/>
    <mergeCell ref="B2:B3"/>
    <mergeCell ref="C2:F3"/>
    <mergeCell ref="G2:H2"/>
    <mergeCell ref="G3:H3"/>
    <mergeCell ref="B7:B8"/>
    <mergeCell ref="C7:C8"/>
  </mergeCells>
  <pageMargins left="0.7" right="0.7" top="0.75" bottom="0.75" header="0.3" footer="0.3"/>
  <pageSetup orientation="portrait" verticalDpi="0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-0.249977111117893"/>
  </sheetPr>
  <dimension ref="B2:H41"/>
  <sheetViews>
    <sheetView zoomScaleNormal="100" workbookViewId="0">
      <selection activeCell="K3" sqref="K3"/>
    </sheetView>
  </sheetViews>
  <sheetFormatPr baseColWidth="10" defaultRowHeight="15" x14ac:dyDescent="0.25"/>
  <cols>
    <col min="2" max="2" width="23.5703125" bestFit="1" customWidth="1"/>
    <col min="4" max="4" width="14.42578125" customWidth="1"/>
    <col min="5" max="5" width="13" customWidth="1"/>
    <col min="7" max="7" width="16.42578125" customWidth="1"/>
    <col min="8" max="8" width="18.28515625" customWidth="1"/>
  </cols>
  <sheetData>
    <row r="2" spans="2:8" ht="30" customHeight="1" x14ac:dyDescent="0.25">
      <c r="B2" s="694" t="s">
        <v>402</v>
      </c>
      <c r="C2" s="801" t="s">
        <v>76</v>
      </c>
      <c r="D2" s="802"/>
      <c r="E2" s="802"/>
      <c r="F2" s="396" t="s">
        <v>3</v>
      </c>
      <c r="G2" s="690" t="s">
        <v>134</v>
      </c>
      <c r="H2" s="808"/>
    </row>
    <row r="3" spans="2:8" ht="78" customHeight="1" x14ac:dyDescent="0.25">
      <c r="B3" s="695"/>
      <c r="C3" s="803"/>
      <c r="D3" s="804"/>
      <c r="E3" s="804"/>
      <c r="F3" s="398">
        <v>0.8</v>
      </c>
      <c r="G3" s="690" t="s">
        <v>79</v>
      </c>
      <c r="H3" s="808"/>
    </row>
    <row r="4" spans="2:8" ht="15" customHeight="1" x14ac:dyDescent="0.25">
      <c r="B4" s="399" t="s">
        <v>1</v>
      </c>
      <c r="C4" s="813" t="s">
        <v>77</v>
      </c>
      <c r="D4" s="814"/>
      <c r="E4" s="814"/>
      <c r="F4" s="814"/>
      <c r="G4" s="690"/>
      <c r="H4" s="808"/>
    </row>
    <row r="5" spans="2:8" ht="15" customHeight="1" x14ac:dyDescent="0.25">
      <c r="B5" s="399" t="s">
        <v>2</v>
      </c>
      <c r="C5" s="813" t="s">
        <v>78</v>
      </c>
      <c r="D5" s="814"/>
      <c r="E5" s="814"/>
      <c r="F5" s="814"/>
      <c r="G5" s="690"/>
      <c r="H5" s="808"/>
    </row>
    <row r="7" spans="2:8" ht="15" customHeight="1" x14ac:dyDescent="0.25">
      <c r="B7" s="809" t="s">
        <v>40</v>
      </c>
      <c r="C7" s="694" t="s">
        <v>41</v>
      </c>
      <c r="D7" s="805" t="s">
        <v>143</v>
      </c>
      <c r="E7" s="806"/>
      <c r="F7" s="807"/>
      <c r="G7" s="466" t="s">
        <v>43</v>
      </c>
      <c r="H7" s="811" t="s">
        <v>137</v>
      </c>
    </row>
    <row r="8" spans="2:8" x14ac:dyDescent="0.25">
      <c r="B8" s="810"/>
      <c r="C8" s="695"/>
      <c r="D8" s="399" t="s">
        <v>82</v>
      </c>
      <c r="E8" s="399" t="s">
        <v>83</v>
      </c>
      <c r="F8" s="467" t="s">
        <v>87</v>
      </c>
      <c r="G8" s="397"/>
      <c r="H8" s="812"/>
    </row>
    <row r="9" spans="2:8" x14ac:dyDescent="0.25">
      <c r="B9" s="79" t="s">
        <v>6</v>
      </c>
      <c r="C9" s="79" t="s">
        <v>7</v>
      </c>
      <c r="D9" s="373">
        <v>1</v>
      </c>
      <c r="E9" s="373">
        <v>1</v>
      </c>
      <c r="F9" s="400">
        <f>D9/E9</f>
        <v>1</v>
      </c>
      <c r="G9" s="375" t="str">
        <f t="shared" ref="G9:G25" si="0">IF(F9&lt;$F$3,$F$3-F9,"-")</f>
        <v>-</v>
      </c>
      <c r="H9" s="402">
        <v>0.8</v>
      </c>
    </row>
    <row r="10" spans="2:8" x14ac:dyDescent="0.25">
      <c r="B10" s="79" t="s">
        <v>8</v>
      </c>
      <c r="C10" s="79" t="s">
        <v>7</v>
      </c>
      <c r="D10" s="373">
        <v>1</v>
      </c>
      <c r="E10" s="373">
        <v>1</v>
      </c>
      <c r="F10" s="400">
        <f t="shared" ref="F10:F41" si="1">D10/E10</f>
        <v>1</v>
      </c>
      <c r="G10" s="375" t="str">
        <f t="shared" si="0"/>
        <v>-</v>
      </c>
      <c r="H10" s="402">
        <v>0.8</v>
      </c>
    </row>
    <row r="11" spans="2:8" x14ac:dyDescent="0.25">
      <c r="B11" s="79" t="s">
        <v>9</v>
      </c>
      <c r="C11" s="79" t="s">
        <v>7</v>
      </c>
      <c r="D11" s="373">
        <v>1</v>
      </c>
      <c r="E11" s="373">
        <v>1</v>
      </c>
      <c r="F11" s="400">
        <f t="shared" si="1"/>
        <v>1</v>
      </c>
      <c r="G11" s="375" t="str">
        <f t="shared" si="0"/>
        <v>-</v>
      </c>
      <c r="H11" s="402">
        <v>0.8</v>
      </c>
    </row>
    <row r="12" spans="2:8" x14ac:dyDescent="0.25">
      <c r="B12" s="79" t="s">
        <v>10</v>
      </c>
      <c r="C12" s="79" t="s">
        <v>7</v>
      </c>
      <c r="D12" s="373">
        <v>1</v>
      </c>
      <c r="E12" s="373">
        <v>1</v>
      </c>
      <c r="F12" s="400">
        <f t="shared" si="1"/>
        <v>1</v>
      </c>
      <c r="G12" s="375" t="str">
        <f t="shared" si="0"/>
        <v>-</v>
      </c>
      <c r="H12" s="402">
        <v>0.8</v>
      </c>
    </row>
    <row r="13" spans="2:8" x14ac:dyDescent="0.25">
      <c r="B13" s="79" t="s">
        <v>11</v>
      </c>
      <c r="C13" s="79" t="s">
        <v>7</v>
      </c>
      <c r="D13" s="373">
        <v>1</v>
      </c>
      <c r="E13" s="373">
        <v>1</v>
      </c>
      <c r="F13" s="400">
        <f t="shared" si="1"/>
        <v>1</v>
      </c>
      <c r="G13" s="375" t="str">
        <f t="shared" si="0"/>
        <v>-</v>
      </c>
      <c r="H13" s="402">
        <v>0.8</v>
      </c>
    </row>
    <row r="14" spans="2:8" x14ac:dyDescent="0.25">
      <c r="B14" s="79" t="s">
        <v>12</v>
      </c>
      <c r="C14" s="79" t="s">
        <v>7</v>
      </c>
      <c r="D14" s="373">
        <v>1</v>
      </c>
      <c r="E14" s="373">
        <v>1</v>
      </c>
      <c r="F14" s="400">
        <f t="shared" si="1"/>
        <v>1</v>
      </c>
      <c r="G14" s="375" t="str">
        <f t="shared" si="0"/>
        <v>-</v>
      </c>
      <c r="H14" s="402">
        <v>0.8</v>
      </c>
    </row>
    <row r="15" spans="2:8" x14ac:dyDescent="0.25">
      <c r="B15" s="79" t="s">
        <v>13</v>
      </c>
      <c r="C15" s="79" t="s">
        <v>7</v>
      </c>
      <c r="D15" s="373">
        <v>1</v>
      </c>
      <c r="E15" s="373">
        <v>1</v>
      </c>
      <c r="F15" s="400">
        <f t="shared" si="1"/>
        <v>1</v>
      </c>
      <c r="G15" s="375" t="str">
        <f t="shared" si="0"/>
        <v>-</v>
      </c>
      <c r="H15" s="402">
        <v>0.8</v>
      </c>
    </row>
    <row r="16" spans="2:8" x14ac:dyDescent="0.25">
      <c r="B16" s="79" t="s">
        <v>14</v>
      </c>
      <c r="C16" s="79" t="s">
        <v>7</v>
      </c>
      <c r="D16" s="373">
        <v>1</v>
      </c>
      <c r="E16" s="373">
        <v>1</v>
      </c>
      <c r="F16" s="400">
        <f t="shared" si="1"/>
        <v>1</v>
      </c>
      <c r="G16" s="375" t="str">
        <f t="shared" si="0"/>
        <v>-</v>
      </c>
      <c r="H16" s="402">
        <v>0.8</v>
      </c>
    </row>
    <row r="17" spans="2:8" x14ac:dyDescent="0.25">
      <c r="B17" s="79" t="s">
        <v>15</v>
      </c>
      <c r="C17" s="79" t="s">
        <v>7</v>
      </c>
      <c r="D17" s="373">
        <v>1</v>
      </c>
      <c r="E17" s="373">
        <v>1</v>
      </c>
      <c r="F17" s="400">
        <f t="shared" si="1"/>
        <v>1</v>
      </c>
      <c r="G17" s="375" t="str">
        <f t="shared" si="0"/>
        <v>-</v>
      </c>
      <c r="H17" s="402">
        <v>0.8</v>
      </c>
    </row>
    <row r="18" spans="2:8" x14ac:dyDescent="0.25">
      <c r="B18" s="79" t="s">
        <v>16</v>
      </c>
      <c r="C18" s="79" t="s">
        <v>7</v>
      </c>
      <c r="D18" s="373">
        <v>1</v>
      </c>
      <c r="E18" s="373">
        <v>1</v>
      </c>
      <c r="F18" s="400">
        <f t="shared" si="1"/>
        <v>1</v>
      </c>
      <c r="G18" s="375" t="str">
        <f t="shared" si="0"/>
        <v>-</v>
      </c>
      <c r="H18" s="402">
        <v>0.8</v>
      </c>
    </row>
    <row r="19" spans="2:8" x14ac:dyDescent="0.25">
      <c r="B19" s="79" t="s">
        <v>17</v>
      </c>
      <c r="C19" s="79" t="s">
        <v>7</v>
      </c>
      <c r="D19" s="373">
        <v>1</v>
      </c>
      <c r="E19" s="373">
        <v>1</v>
      </c>
      <c r="F19" s="400">
        <f t="shared" si="1"/>
        <v>1</v>
      </c>
      <c r="G19" s="375" t="str">
        <f t="shared" si="0"/>
        <v>-</v>
      </c>
      <c r="H19" s="402">
        <v>0.8</v>
      </c>
    </row>
    <row r="20" spans="2:8" x14ac:dyDescent="0.25">
      <c r="B20" s="79" t="s">
        <v>18</v>
      </c>
      <c r="C20" s="79" t="s">
        <v>7</v>
      </c>
      <c r="D20" s="373">
        <v>1</v>
      </c>
      <c r="E20" s="373">
        <v>1</v>
      </c>
      <c r="F20" s="400">
        <f t="shared" si="1"/>
        <v>1</v>
      </c>
      <c r="G20" s="375" t="str">
        <f t="shared" si="0"/>
        <v>-</v>
      </c>
      <c r="H20" s="402">
        <v>0.8</v>
      </c>
    </row>
    <row r="21" spans="2:8" x14ac:dyDescent="0.25">
      <c r="B21" s="79" t="s">
        <v>19</v>
      </c>
      <c r="C21" s="79" t="s">
        <v>7</v>
      </c>
      <c r="D21" s="373">
        <v>1</v>
      </c>
      <c r="E21" s="373">
        <v>1</v>
      </c>
      <c r="F21" s="400">
        <f t="shared" si="1"/>
        <v>1</v>
      </c>
      <c r="G21" s="375" t="str">
        <f t="shared" si="0"/>
        <v>-</v>
      </c>
      <c r="H21" s="402">
        <v>0.8</v>
      </c>
    </row>
    <row r="22" spans="2:8" x14ac:dyDescent="0.25">
      <c r="B22" s="79" t="s">
        <v>20</v>
      </c>
      <c r="C22" s="79" t="s">
        <v>7</v>
      </c>
      <c r="D22" s="373">
        <v>1</v>
      </c>
      <c r="E22" s="373">
        <v>1</v>
      </c>
      <c r="F22" s="400">
        <f t="shared" si="1"/>
        <v>1</v>
      </c>
      <c r="G22" s="375" t="str">
        <f t="shared" si="0"/>
        <v>-</v>
      </c>
      <c r="H22" s="402">
        <v>0.8</v>
      </c>
    </row>
    <row r="23" spans="2:8" x14ac:dyDescent="0.25">
      <c r="B23" s="79" t="s">
        <v>21</v>
      </c>
      <c r="C23" s="79" t="s">
        <v>7</v>
      </c>
      <c r="D23" s="373">
        <v>1</v>
      </c>
      <c r="E23" s="373">
        <v>1</v>
      </c>
      <c r="F23" s="400">
        <f t="shared" si="1"/>
        <v>1</v>
      </c>
      <c r="G23" s="375" t="str">
        <f t="shared" si="0"/>
        <v>-</v>
      </c>
      <c r="H23" s="402">
        <v>0.8</v>
      </c>
    </row>
    <row r="24" spans="2:8" x14ac:dyDescent="0.25">
      <c r="B24" s="79" t="s">
        <v>22</v>
      </c>
      <c r="C24" s="79" t="s">
        <v>7</v>
      </c>
      <c r="D24" s="373">
        <v>1</v>
      </c>
      <c r="E24" s="373">
        <v>1</v>
      </c>
      <c r="F24" s="400">
        <f t="shared" si="1"/>
        <v>1</v>
      </c>
      <c r="G24" s="375" t="str">
        <f t="shared" si="0"/>
        <v>-</v>
      </c>
      <c r="H24" s="402">
        <v>0.8</v>
      </c>
    </row>
    <row r="25" spans="2:8" x14ac:dyDescent="0.25">
      <c r="B25" s="79" t="s">
        <v>23</v>
      </c>
      <c r="C25" s="79" t="s">
        <v>7</v>
      </c>
      <c r="D25" s="373">
        <v>1</v>
      </c>
      <c r="E25" s="373">
        <v>1</v>
      </c>
      <c r="F25" s="400">
        <f t="shared" si="1"/>
        <v>1</v>
      </c>
      <c r="G25" s="375" t="str">
        <f t="shared" si="0"/>
        <v>-</v>
      </c>
      <c r="H25" s="402">
        <v>0.8</v>
      </c>
    </row>
    <row r="26" spans="2:8" x14ac:dyDescent="0.25">
      <c r="B26" s="343"/>
      <c r="C26" s="344" t="s">
        <v>7</v>
      </c>
      <c r="D26" s="403"/>
      <c r="E26" s="403"/>
      <c r="F26" s="404"/>
      <c r="G26" s="385"/>
      <c r="H26" s="385"/>
    </row>
    <row r="27" spans="2:8" x14ac:dyDescent="0.25">
      <c r="B27" s="79" t="s">
        <v>24</v>
      </c>
      <c r="C27" s="79" t="s">
        <v>25</v>
      </c>
      <c r="D27" s="373">
        <v>1</v>
      </c>
      <c r="E27" s="373">
        <v>1</v>
      </c>
      <c r="F27" s="400">
        <f t="shared" si="1"/>
        <v>1</v>
      </c>
      <c r="G27" s="375" t="str">
        <f t="shared" ref="G27:G33" si="2">IF(F27&lt;$F$3,$F$3-F27,"-")</f>
        <v>-</v>
      </c>
      <c r="H27" s="402">
        <v>0.8</v>
      </c>
    </row>
    <row r="28" spans="2:8" x14ac:dyDescent="0.25">
      <c r="B28" s="79" t="s">
        <v>26</v>
      </c>
      <c r="C28" s="79" t="s">
        <v>25</v>
      </c>
      <c r="D28" s="373">
        <v>1</v>
      </c>
      <c r="E28" s="373">
        <v>1</v>
      </c>
      <c r="F28" s="400">
        <f t="shared" si="1"/>
        <v>1</v>
      </c>
      <c r="G28" s="375" t="str">
        <f t="shared" si="2"/>
        <v>-</v>
      </c>
      <c r="H28" s="402">
        <v>0.8</v>
      </c>
    </row>
    <row r="29" spans="2:8" x14ac:dyDescent="0.25">
      <c r="B29" s="79" t="s">
        <v>27</v>
      </c>
      <c r="C29" s="79" t="s">
        <v>25</v>
      </c>
      <c r="D29" s="373">
        <v>1</v>
      </c>
      <c r="E29" s="373">
        <v>1</v>
      </c>
      <c r="F29" s="400">
        <f t="shared" si="1"/>
        <v>1</v>
      </c>
      <c r="G29" s="375" t="str">
        <f t="shared" si="2"/>
        <v>-</v>
      </c>
      <c r="H29" s="402">
        <v>0.8</v>
      </c>
    </row>
    <row r="30" spans="2:8" x14ac:dyDescent="0.25">
      <c r="B30" s="79" t="s">
        <v>28</v>
      </c>
      <c r="C30" s="79" t="s">
        <v>25</v>
      </c>
      <c r="D30" s="373">
        <v>1</v>
      </c>
      <c r="E30" s="373">
        <v>1</v>
      </c>
      <c r="F30" s="400">
        <f t="shared" si="1"/>
        <v>1</v>
      </c>
      <c r="G30" s="375" t="str">
        <f t="shared" si="2"/>
        <v>-</v>
      </c>
      <c r="H30" s="402">
        <v>0.8</v>
      </c>
    </row>
    <row r="31" spans="2:8" x14ac:dyDescent="0.25">
      <c r="B31" s="79" t="s">
        <v>29</v>
      </c>
      <c r="C31" s="79" t="s">
        <v>25</v>
      </c>
      <c r="D31" s="373">
        <v>1</v>
      </c>
      <c r="E31" s="373">
        <v>1</v>
      </c>
      <c r="F31" s="400">
        <f t="shared" si="1"/>
        <v>1</v>
      </c>
      <c r="G31" s="375" t="str">
        <f t="shared" si="2"/>
        <v>-</v>
      </c>
      <c r="H31" s="402">
        <v>0.8</v>
      </c>
    </row>
    <row r="32" spans="2:8" x14ac:dyDescent="0.25">
      <c r="B32" s="79" t="s">
        <v>30</v>
      </c>
      <c r="C32" s="79" t="s">
        <v>25</v>
      </c>
      <c r="D32" s="373">
        <v>1</v>
      </c>
      <c r="E32" s="373">
        <v>1</v>
      </c>
      <c r="F32" s="400">
        <f t="shared" si="1"/>
        <v>1</v>
      </c>
      <c r="G32" s="375" t="str">
        <f t="shared" si="2"/>
        <v>-</v>
      </c>
      <c r="H32" s="402">
        <v>0.8</v>
      </c>
    </row>
    <row r="33" spans="2:8" x14ac:dyDescent="0.25">
      <c r="B33" s="79" t="s">
        <v>31</v>
      </c>
      <c r="C33" s="79" t="s">
        <v>25</v>
      </c>
      <c r="D33" s="373">
        <v>1</v>
      </c>
      <c r="E33" s="373">
        <v>1</v>
      </c>
      <c r="F33" s="400">
        <f t="shared" si="1"/>
        <v>1</v>
      </c>
      <c r="G33" s="375" t="str">
        <f t="shared" si="2"/>
        <v>-</v>
      </c>
      <c r="H33" s="402">
        <v>0.8</v>
      </c>
    </row>
    <row r="34" spans="2:8" x14ac:dyDescent="0.25">
      <c r="B34" s="343"/>
      <c r="C34" s="344" t="s">
        <v>25</v>
      </c>
      <c r="D34" s="403"/>
      <c r="E34" s="403"/>
      <c r="F34" s="404"/>
      <c r="G34" s="385"/>
      <c r="H34" s="385"/>
    </row>
    <row r="35" spans="2:8" x14ac:dyDescent="0.25">
      <c r="B35" s="79" t="s">
        <v>32</v>
      </c>
      <c r="C35" s="79" t="s">
        <v>33</v>
      </c>
      <c r="D35" s="373">
        <v>1</v>
      </c>
      <c r="E35" s="373">
        <v>1</v>
      </c>
      <c r="F35" s="400">
        <f t="shared" si="1"/>
        <v>1</v>
      </c>
      <c r="G35" s="375" t="str">
        <f t="shared" ref="G35:G41" si="3">IF(F35&lt;$F$3,$F$3-F35,"-")</f>
        <v>-</v>
      </c>
      <c r="H35" s="402">
        <v>0.8</v>
      </c>
    </row>
    <row r="36" spans="2:8" x14ac:dyDescent="0.25">
      <c r="B36" s="79" t="s">
        <v>34</v>
      </c>
      <c r="C36" s="79" t="s">
        <v>33</v>
      </c>
      <c r="D36" s="373">
        <v>1</v>
      </c>
      <c r="E36" s="373">
        <v>1</v>
      </c>
      <c r="F36" s="400">
        <f t="shared" si="1"/>
        <v>1</v>
      </c>
      <c r="G36" s="375" t="str">
        <f t="shared" si="3"/>
        <v>-</v>
      </c>
      <c r="H36" s="402">
        <v>0.8</v>
      </c>
    </row>
    <row r="37" spans="2:8" x14ac:dyDescent="0.25">
      <c r="B37" s="79" t="s">
        <v>35</v>
      </c>
      <c r="C37" s="79" t="s">
        <v>33</v>
      </c>
      <c r="D37" s="373">
        <v>1</v>
      </c>
      <c r="E37" s="373">
        <v>1</v>
      </c>
      <c r="F37" s="400">
        <f t="shared" si="1"/>
        <v>1</v>
      </c>
      <c r="G37" s="375" t="str">
        <f t="shared" si="3"/>
        <v>-</v>
      </c>
      <c r="H37" s="402">
        <v>0.8</v>
      </c>
    </row>
    <row r="38" spans="2:8" x14ac:dyDescent="0.25">
      <c r="B38" s="79" t="s">
        <v>36</v>
      </c>
      <c r="C38" s="79" t="s">
        <v>33</v>
      </c>
      <c r="D38" s="373">
        <v>1</v>
      </c>
      <c r="E38" s="373">
        <v>1</v>
      </c>
      <c r="F38" s="400">
        <f t="shared" si="1"/>
        <v>1</v>
      </c>
      <c r="G38" s="375" t="str">
        <f t="shared" si="3"/>
        <v>-</v>
      </c>
      <c r="H38" s="402">
        <v>0.8</v>
      </c>
    </row>
    <row r="39" spans="2:8" x14ac:dyDescent="0.25">
      <c r="B39" s="79" t="s">
        <v>37</v>
      </c>
      <c r="C39" s="79" t="s">
        <v>33</v>
      </c>
      <c r="D39" s="373">
        <v>1</v>
      </c>
      <c r="E39" s="373">
        <v>1</v>
      </c>
      <c r="F39" s="400">
        <f t="shared" si="1"/>
        <v>1</v>
      </c>
      <c r="G39" s="375" t="str">
        <f t="shared" si="3"/>
        <v>-</v>
      </c>
      <c r="H39" s="402">
        <v>0.8</v>
      </c>
    </row>
    <row r="40" spans="2:8" x14ac:dyDescent="0.25">
      <c r="B40" s="79" t="s">
        <v>38</v>
      </c>
      <c r="C40" s="79" t="s">
        <v>33</v>
      </c>
      <c r="D40" s="373">
        <v>1</v>
      </c>
      <c r="E40" s="373">
        <v>1</v>
      </c>
      <c r="F40" s="400">
        <f t="shared" si="1"/>
        <v>1</v>
      </c>
      <c r="G40" s="375" t="str">
        <f t="shared" si="3"/>
        <v>-</v>
      </c>
      <c r="H40" s="402">
        <v>0.8</v>
      </c>
    </row>
    <row r="41" spans="2:8" x14ac:dyDescent="0.25">
      <c r="B41" s="79" t="s">
        <v>39</v>
      </c>
      <c r="C41" s="79" t="s">
        <v>33</v>
      </c>
      <c r="D41" s="373">
        <v>1</v>
      </c>
      <c r="E41" s="373">
        <v>1</v>
      </c>
      <c r="F41" s="400">
        <f t="shared" si="1"/>
        <v>1</v>
      </c>
      <c r="G41" s="375" t="str">
        <f t="shared" si="3"/>
        <v>-</v>
      </c>
      <c r="H41" s="402">
        <v>0.8</v>
      </c>
    </row>
  </sheetData>
  <mergeCells count="10">
    <mergeCell ref="B2:B3"/>
    <mergeCell ref="C2:E3"/>
    <mergeCell ref="D7:F7"/>
    <mergeCell ref="G3:H5"/>
    <mergeCell ref="G2:H2"/>
    <mergeCell ref="B7:B8"/>
    <mergeCell ref="C7:C8"/>
    <mergeCell ref="H7:H8"/>
    <mergeCell ref="C4:F4"/>
    <mergeCell ref="C5:F5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05E0F-4F45-4D32-8802-0C85E92A25A8}">
  <dimension ref="B1:L48"/>
  <sheetViews>
    <sheetView showGridLines="0" zoomScale="120" zoomScaleNormal="120" workbookViewId="0">
      <selection activeCell="N1" sqref="N1"/>
    </sheetView>
  </sheetViews>
  <sheetFormatPr baseColWidth="10" defaultRowHeight="15" x14ac:dyDescent="0.25"/>
  <cols>
    <col min="1" max="1" width="2.5703125" customWidth="1"/>
    <col min="2" max="2" width="25.85546875" customWidth="1"/>
    <col min="6" max="6" width="11.85546875" customWidth="1"/>
  </cols>
  <sheetData>
    <row r="1" spans="2:12" ht="15" customHeight="1" x14ac:dyDescent="0.25">
      <c r="B1" s="815">
        <v>2023</v>
      </c>
      <c r="C1" s="327" t="s">
        <v>386</v>
      </c>
      <c r="D1" s="327" t="s">
        <v>387</v>
      </c>
      <c r="E1" s="327" t="s">
        <v>388</v>
      </c>
      <c r="F1" s="327" t="s">
        <v>389</v>
      </c>
      <c r="G1" s="327" t="s">
        <v>390</v>
      </c>
      <c r="H1" s="327" t="s">
        <v>391</v>
      </c>
      <c r="I1" s="327" t="s">
        <v>392</v>
      </c>
      <c r="J1" s="327" t="s">
        <v>393</v>
      </c>
      <c r="K1" s="327" t="s">
        <v>394</v>
      </c>
      <c r="L1" s="327" t="s">
        <v>395</v>
      </c>
    </row>
    <row r="2" spans="2:12" x14ac:dyDescent="0.25">
      <c r="B2" s="816"/>
      <c r="C2" s="327" t="s">
        <v>155</v>
      </c>
      <c r="D2" s="327" t="s">
        <v>43</v>
      </c>
      <c r="E2" s="327" t="s">
        <v>156</v>
      </c>
      <c r="F2" s="327" t="s">
        <v>385</v>
      </c>
      <c r="G2" s="327" t="s">
        <v>375</v>
      </c>
      <c r="H2" s="327" t="s">
        <v>155</v>
      </c>
      <c r="I2" s="327" t="s">
        <v>158</v>
      </c>
      <c r="J2" s="327" t="s">
        <v>159</v>
      </c>
      <c r="K2" s="327" t="s">
        <v>129</v>
      </c>
      <c r="L2" s="327" t="s">
        <v>160</v>
      </c>
    </row>
    <row r="3" spans="2:12" x14ac:dyDescent="0.25">
      <c r="B3" s="342" t="s">
        <v>107</v>
      </c>
      <c r="C3" s="327" t="s">
        <v>109</v>
      </c>
      <c r="D3" s="327" t="s">
        <v>356</v>
      </c>
      <c r="E3" s="327" t="s">
        <v>109</v>
      </c>
      <c r="F3" s="327" t="s">
        <v>109</v>
      </c>
      <c r="G3" s="327" t="s">
        <v>109</v>
      </c>
      <c r="H3" s="327" t="s">
        <v>109</v>
      </c>
      <c r="I3" s="327" t="s">
        <v>109</v>
      </c>
      <c r="J3" s="327" t="s">
        <v>109</v>
      </c>
      <c r="K3" s="327" t="s">
        <v>109</v>
      </c>
      <c r="L3" s="327" t="s">
        <v>109</v>
      </c>
    </row>
    <row r="4" spans="2:12" ht="15" customHeight="1" x14ac:dyDescent="0.25">
      <c r="B4" s="328" t="s">
        <v>6</v>
      </c>
      <c r="C4" s="329">
        <v>0.9</v>
      </c>
      <c r="D4" s="329">
        <v>0.9</v>
      </c>
      <c r="E4" s="329">
        <v>0.35</v>
      </c>
      <c r="F4" s="330">
        <f>'3b'!BP9</f>
        <v>0.15</v>
      </c>
      <c r="G4" s="329">
        <f>VLOOKUP(B4,'4a -DM2 Ref'!$A$12:$K$44,11,0)/100</f>
        <v>0.23899999999999999</v>
      </c>
      <c r="H4" s="329">
        <f>'4b - Cálculo'!J5</f>
        <v>0.83976529434397851</v>
      </c>
      <c r="I4" s="329">
        <f>+VLOOKUP(B4,'5 - HTA ref'!$A$13:$K$45,11,0)/100</f>
        <v>0.30099999999999999</v>
      </c>
      <c r="J4" s="330">
        <f>'6 - meta 2023 Ref'!AL3/100</f>
        <v>0.6</v>
      </c>
      <c r="K4" s="331" t="s">
        <v>129</v>
      </c>
      <c r="L4" s="331" t="s">
        <v>162</v>
      </c>
    </row>
    <row r="5" spans="2:12" ht="15" customHeight="1" x14ac:dyDescent="0.25">
      <c r="B5" s="328" t="s">
        <v>8</v>
      </c>
      <c r="C5" s="329">
        <v>0.9</v>
      </c>
      <c r="D5" s="329">
        <v>0.9</v>
      </c>
      <c r="E5" s="329">
        <v>0.35</v>
      </c>
      <c r="F5" s="330">
        <f>'3b'!BP10</f>
        <v>0.15</v>
      </c>
      <c r="G5" s="329">
        <f>VLOOKUP(B5,'4a -DM2 Ref'!$A$12:$K$44,11,0)/100</f>
        <v>0.253</v>
      </c>
      <c r="H5" s="329">
        <f>'4b - Cálculo'!J6</f>
        <v>0.7023465703971119</v>
      </c>
      <c r="I5" s="329">
        <f>+VLOOKUP(B5,'5 - HTA ref'!$A$13:$K$45,11,0)/100</f>
        <v>0.29699999999999999</v>
      </c>
      <c r="J5" s="330">
        <f>'6 - meta 2023 Ref'!AL4/100</f>
        <v>0.69291338582677175</v>
      </c>
      <c r="K5" s="331" t="s">
        <v>129</v>
      </c>
      <c r="L5" s="331" t="s">
        <v>162</v>
      </c>
    </row>
    <row r="6" spans="2:12" ht="15" customHeight="1" x14ac:dyDescent="0.25">
      <c r="B6" s="328" t="s">
        <v>9</v>
      </c>
      <c r="C6" s="329">
        <v>0.9</v>
      </c>
      <c r="D6" s="329">
        <v>0.9</v>
      </c>
      <c r="E6" s="329">
        <v>0.35</v>
      </c>
      <c r="F6" s="330">
        <f>'3b'!BP11</f>
        <v>0.15</v>
      </c>
      <c r="G6" s="329">
        <f>VLOOKUP(B6,'4a -DM2 Ref'!$A$12:$K$44,11,0)/100</f>
        <v>0.27500000000000002</v>
      </c>
      <c r="H6" s="329">
        <f>'4b - Cálculo'!J7</f>
        <v>0.60084388185654014</v>
      </c>
      <c r="I6" s="329">
        <f>+VLOOKUP(B6,'5 - HTA ref'!$A$13:$K$45,11,0)/100</f>
        <v>0.40399999999999997</v>
      </c>
      <c r="J6" s="330">
        <f>'6 - meta 2023 Ref'!AL5/100</f>
        <v>0.60784313725490191</v>
      </c>
      <c r="K6" s="331" t="s">
        <v>129</v>
      </c>
      <c r="L6" s="331" t="s">
        <v>162</v>
      </c>
    </row>
    <row r="7" spans="2:12" ht="15" customHeight="1" x14ac:dyDescent="0.25">
      <c r="B7" s="328" t="s">
        <v>10</v>
      </c>
      <c r="C7" s="329">
        <v>0.9</v>
      </c>
      <c r="D7" s="329">
        <v>0.9</v>
      </c>
      <c r="E7" s="329">
        <v>0.35</v>
      </c>
      <c r="F7" s="330">
        <f>'3b'!BP12</f>
        <v>0.15</v>
      </c>
      <c r="G7" s="329">
        <f>VLOOKUP(B7,'4a -DM2 Ref'!$A$12:$K$44,11,0)/100</f>
        <v>0.27699999999999997</v>
      </c>
      <c r="H7" s="329">
        <f>'4b - Cálculo'!J8</f>
        <v>0.85931372549019613</v>
      </c>
      <c r="I7" s="329">
        <f>+VLOOKUP(B7,'5 - HTA ref'!$A$13:$K$45,11,0)/100</f>
        <v>0.38200000000000001</v>
      </c>
      <c r="J7" s="330">
        <f>'6 - meta 2023 Ref'!AL6/100</f>
        <v>0.7</v>
      </c>
      <c r="K7" s="331" t="s">
        <v>129</v>
      </c>
      <c r="L7" s="331" t="s">
        <v>162</v>
      </c>
    </row>
    <row r="8" spans="2:12" ht="15" customHeight="1" x14ac:dyDescent="0.25">
      <c r="B8" s="328" t="s">
        <v>11</v>
      </c>
      <c r="C8" s="329">
        <v>0.9</v>
      </c>
      <c r="D8" s="329">
        <v>0.9</v>
      </c>
      <c r="E8" s="329">
        <v>0.35</v>
      </c>
      <c r="F8" s="330">
        <f>'3b'!BP13</f>
        <v>0.15</v>
      </c>
      <c r="G8" s="329">
        <f>VLOOKUP(B8,'4a -DM2 Ref'!$A$12:$K$44,11,0)/100</f>
        <v>0.33299999999999996</v>
      </c>
      <c r="H8" s="329">
        <f>'4b - Cálculo'!J9</f>
        <v>0.83059231253938259</v>
      </c>
      <c r="I8" s="329">
        <f>+VLOOKUP(B8,'5 - HTA ref'!$A$13:$K$45,11,0)/100</f>
        <v>0.5</v>
      </c>
      <c r="J8" s="330">
        <f>'6 - meta 2023 Ref'!AL7/100</f>
        <v>0.60126582278481011</v>
      </c>
      <c r="K8" s="331" t="s">
        <v>129</v>
      </c>
      <c r="L8" s="331" t="s">
        <v>162</v>
      </c>
    </row>
    <row r="9" spans="2:12" ht="15" customHeight="1" x14ac:dyDescent="0.25">
      <c r="B9" s="328" t="s">
        <v>12</v>
      </c>
      <c r="C9" s="329">
        <v>0.9</v>
      </c>
      <c r="D9" s="329">
        <v>0.9</v>
      </c>
      <c r="E9" s="329">
        <v>0.35</v>
      </c>
      <c r="F9" s="330">
        <f>'3b'!BP14</f>
        <v>0.15</v>
      </c>
      <c r="G9" s="329">
        <f>VLOOKUP(B9,'4a -DM2 Ref'!$A$12:$K$44,11,0)/100</f>
        <v>0.22699999999999998</v>
      </c>
      <c r="H9" s="329">
        <f>'4b - Cálculo'!J10</f>
        <v>0.86417497231450724</v>
      </c>
      <c r="I9" s="329">
        <f>+VLOOKUP(B9,'5 - HTA ref'!$A$13:$K$45,11,0)/100</f>
        <v>0.33799999999999997</v>
      </c>
      <c r="J9" s="330">
        <f>'6 - meta 2023 Ref'!AL8/100</f>
        <v>0.6</v>
      </c>
      <c r="K9" s="331" t="s">
        <v>129</v>
      </c>
      <c r="L9" s="331" t="s">
        <v>162</v>
      </c>
    </row>
    <row r="10" spans="2:12" ht="15" customHeight="1" x14ac:dyDescent="0.25">
      <c r="B10" s="328" t="s">
        <v>13</v>
      </c>
      <c r="C10" s="329">
        <v>0.9</v>
      </c>
      <c r="D10" s="329">
        <v>0.9</v>
      </c>
      <c r="E10" s="329">
        <v>0.35</v>
      </c>
      <c r="F10" s="330">
        <f>'3b'!BP15</f>
        <v>0.10398550724637681</v>
      </c>
      <c r="G10" s="329">
        <f>VLOOKUP(B10,'4a -DM2 Ref'!$A$12:$K$44,11,0)/100</f>
        <v>0.28399999999999997</v>
      </c>
      <c r="H10" s="329">
        <f>'4b - Cálculo'!J11</f>
        <v>0.88591455273698261</v>
      </c>
      <c r="I10" s="329">
        <f>+VLOOKUP(B10,'5 - HTA ref'!$A$13:$K$45,11,0)/100</f>
        <v>0.35</v>
      </c>
      <c r="J10" s="330">
        <f>'6 - meta 2023 Ref'!AL9/100</f>
        <v>0.66883116883116889</v>
      </c>
      <c r="K10" s="331" t="s">
        <v>129</v>
      </c>
      <c r="L10" s="331" t="s">
        <v>162</v>
      </c>
    </row>
    <row r="11" spans="2:12" ht="15" customHeight="1" x14ac:dyDescent="0.25">
      <c r="B11" s="328" t="s">
        <v>14</v>
      </c>
      <c r="C11" s="329">
        <v>0.9</v>
      </c>
      <c r="D11" s="329">
        <v>0.9</v>
      </c>
      <c r="E11" s="329">
        <v>0.35</v>
      </c>
      <c r="F11" s="330">
        <f>'3b'!BP16</f>
        <v>0.15</v>
      </c>
      <c r="G11" s="329">
        <f>VLOOKUP(B11,'4a -DM2 Ref'!$A$12:$K$44,11,0)/100</f>
        <v>0.26800000000000002</v>
      </c>
      <c r="H11" s="329">
        <f>'4b - Cálculo'!J12</f>
        <v>0.8888674388674388</v>
      </c>
      <c r="I11" s="329">
        <f>+VLOOKUP(B11,'5 - HTA ref'!$A$13:$K$45,11,0)/100</f>
        <v>0.33899999999999997</v>
      </c>
      <c r="J11" s="330">
        <f>'6 - meta 2023 Ref'!AL10/100</f>
        <v>0.56299999999999994</v>
      </c>
      <c r="K11" s="331" t="s">
        <v>129</v>
      </c>
      <c r="L11" s="331" t="s">
        <v>162</v>
      </c>
    </row>
    <row r="12" spans="2:12" ht="15" customHeight="1" x14ac:dyDescent="0.25">
      <c r="B12" s="328" t="s">
        <v>15</v>
      </c>
      <c r="C12" s="329">
        <v>0.9</v>
      </c>
      <c r="D12" s="329">
        <v>0.9</v>
      </c>
      <c r="E12" s="329">
        <v>0.35</v>
      </c>
      <c r="F12" s="330">
        <f>'3b'!BP17</f>
        <v>0.15</v>
      </c>
      <c r="G12" s="329">
        <f>VLOOKUP(B12,'4a -DM2 Ref'!$A$12:$K$44,11,0)/100</f>
        <v>0.23600000000000002</v>
      </c>
      <c r="H12" s="329">
        <f>'4b - Cálculo'!J13</f>
        <v>0.89942196531791907</v>
      </c>
      <c r="I12" s="329">
        <f>+VLOOKUP(B12,'5 - HTA ref'!$A$13:$K$45,11,0)/100</f>
        <v>0.46700000000000003</v>
      </c>
      <c r="J12" s="330">
        <f>'6 - meta 2023 Ref'!AL11/100</f>
        <v>0.7</v>
      </c>
      <c r="K12" s="331" t="s">
        <v>129</v>
      </c>
      <c r="L12" s="331" t="s">
        <v>162</v>
      </c>
    </row>
    <row r="13" spans="2:12" ht="15" customHeight="1" x14ac:dyDescent="0.25">
      <c r="B13" s="328" t="s">
        <v>16</v>
      </c>
      <c r="C13" s="329">
        <v>0.9</v>
      </c>
      <c r="D13" s="329">
        <v>0.9</v>
      </c>
      <c r="E13" s="329">
        <v>0.35</v>
      </c>
      <c r="F13" s="330">
        <f>'3b'!BP18</f>
        <v>0.15</v>
      </c>
      <c r="G13" s="329">
        <f>VLOOKUP(B13,'4a -DM2 Ref'!$A$12:$K$44,11,0)/100</f>
        <v>0.29899999999999999</v>
      </c>
      <c r="H13" s="329">
        <f>'4b - Cálculo'!J14</f>
        <v>0.85498034076015728</v>
      </c>
      <c r="I13" s="329">
        <f>+VLOOKUP(B13,'5 - HTA ref'!$A$13:$K$45,11,0)/100</f>
        <v>0.5</v>
      </c>
      <c r="J13" s="330">
        <f>'6 - meta 2023 Ref'!AL12/100</f>
        <v>0.7</v>
      </c>
      <c r="K13" s="331" t="s">
        <v>129</v>
      </c>
      <c r="L13" s="331" t="s">
        <v>162</v>
      </c>
    </row>
    <row r="14" spans="2:12" ht="15" customHeight="1" x14ac:dyDescent="0.25">
      <c r="B14" s="328" t="s">
        <v>17</v>
      </c>
      <c r="C14" s="329">
        <v>0.9</v>
      </c>
      <c r="D14" s="329">
        <v>0.9</v>
      </c>
      <c r="E14" s="329">
        <v>0.35</v>
      </c>
      <c r="F14" s="330">
        <f>'3b'!BP19</f>
        <v>0.15</v>
      </c>
      <c r="G14" s="329">
        <f>VLOOKUP(B14,'4a -DM2 Ref'!$A$12:$K$44,11,0)/100</f>
        <v>0.29299999999999998</v>
      </c>
      <c r="H14" s="329">
        <f>'4b - Cálculo'!J15</f>
        <v>0.80864093959731553</v>
      </c>
      <c r="I14" s="329">
        <f>+VLOOKUP(B14,'5 - HTA ref'!$A$13:$K$45,11,0)/100</f>
        <v>0.45500000000000002</v>
      </c>
      <c r="J14" s="330">
        <f>'6 - meta 2023 Ref'!AL13/100</f>
        <v>0.49299999999999999</v>
      </c>
      <c r="K14" s="331" t="s">
        <v>129</v>
      </c>
      <c r="L14" s="331" t="s">
        <v>162</v>
      </c>
    </row>
    <row r="15" spans="2:12" ht="15" customHeight="1" x14ac:dyDescent="0.25">
      <c r="B15" s="328" t="s">
        <v>18</v>
      </c>
      <c r="C15" s="329">
        <v>0.9</v>
      </c>
      <c r="D15" s="329">
        <v>0.9</v>
      </c>
      <c r="E15" s="329">
        <v>0.35</v>
      </c>
      <c r="F15" s="330">
        <f>'3b'!BP20</f>
        <v>0.15</v>
      </c>
      <c r="G15" s="329">
        <f>VLOOKUP(B15,'4a -DM2 Ref'!$A$12:$K$44,11,0)/100</f>
        <v>0.30399999999999999</v>
      </c>
      <c r="H15" s="329">
        <f>'4b - Cálculo'!J16</f>
        <v>0.82049433573635433</v>
      </c>
      <c r="I15" s="329">
        <f>+VLOOKUP(B15,'5 - HTA ref'!$A$13:$K$45,11,0)/100</f>
        <v>0.41899999999999998</v>
      </c>
      <c r="J15" s="330">
        <f>'6 - meta 2023 Ref'!AL14/100</f>
        <v>0.49399999999999999</v>
      </c>
      <c r="K15" s="331" t="s">
        <v>129</v>
      </c>
      <c r="L15" s="331" t="s">
        <v>162</v>
      </c>
    </row>
    <row r="16" spans="2:12" ht="15" customHeight="1" x14ac:dyDescent="0.25">
      <c r="B16" s="328" t="s">
        <v>19</v>
      </c>
      <c r="C16" s="329">
        <v>0.9</v>
      </c>
      <c r="D16" s="329">
        <v>0.9</v>
      </c>
      <c r="E16" s="329">
        <v>0.35</v>
      </c>
      <c r="F16" s="330">
        <f>'3b'!BP21</f>
        <v>0.15</v>
      </c>
      <c r="G16" s="329">
        <f>VLOOKUP(B16,'4a -DM2 Ref'!$A$12:$K$44,11,0)/100</f>
        <v>0.23600000000000002</v>
      </c>
      <c r="H16" s="329">
        <f>'4b - Cálculo'!J17</f>
        <v>0.9</v>
      </c>
      <c r="I16" s="329">
        <f>+VLOOKUP(B16,'5 - HTA ref'!$A$13:$K$45,11,0)/100</f>
        <v>0.5</v>
      </c>
      <c r="J16" s="330">
        <f>'6 - meta 2023 Ref'!AL15/100</f>
        <v>0.7</v>
      </c>
      <c r="K16" s="331" t="s">
        <v>129</v>
      </c>
      <c r="L16" s="331" t="s">
        <v>162</v>
      </c>
    </row>
    <row r="17" spans="2:12" ht="15" customHeight="1" x14ac:dyDescent="0.25">
      <c r="B17" s="328" t="s">
        <v>20</v>
      </c>
      <c r="C17" s="329">
        <v>0.9</v>
      </c>
      <c r="D17" s="329">
        <v>0.9</v>
      </c>
      <c r="E17" s="329">
        <v>0.35</v>
      </c>
      <c r="F17" s="330">
        <f>'3b'!BP22</f>
        <v>0.15</v>
      </c>
      <c r="G17" s="329">
        <f>VLOOKUP(B17,'4a -DM2 Ref'!$A$12:$K$44,11,0)/100</f>
        <v>0.28800000000000003</v>
      </c>
      <c r="H17" s="329">
        <f>'4b - Cálculo'!J18</f>
        <v>0.85986717267552193</v>
      </c>
      <c r="I17" s="329">
        <f>+VLOOKUP(B17,'5 - HTA ref'!$A$13:$K$45,11,0)/100</f>
        <v>0.5</v>
      </c>
      <c r="J17" s="330">
        <f>'6 - meta 2023 Ref'!AL16/100</f>
        <v>0.68965517241379315</v>
      </c>
      <c r="K17" s="331" t="s">
        <v>129</v>
      </c>
      <c r="L17" s="331" t="s">
        <v>162</v>
      </c>
    </row>
    <row r="18" spans="2:12" ht="15" customHeight="1" x14ac:dyDescent="0.25">
      <c r="B18" s="328" t="s">
        <v>21</v>
      </c>
      <c r="C18" s="329">
        <v>0.9</v>
      </c>
      <c r="D18" s="329">
        <v>0.9</v>
      </c>
      <c r="E18" s="329">
        <v>0.35</v>
      </c>
      <c r="F18" s="330">
        <f>'3b'!BP23</f>
        <v>0.14430693069306932</v>
      </c>
      <c r="G18" s="329">
        <f>VLOOKUP(B18,'4a -DM2 Ref'!$A$12:$K$44,11,0)/100</f>
        <v>0.33200000000000002</v>
      </c>
      <c r="H18" s="329">
        <f>'4b - Cálculo'!J19</f>
        <v>0.88294117647058823</v>
      </c>
      <c r="I18" s="329">
        <f>+VLOOKUP(B18,'5 - HTA ref'!$A$13:$K$45,11,0)/100</f>
        <v>0.48899999999999999</v>
      </c>
      <c r="J18" s="330">
        <f>'6 - meta 2023 Ref'!AL17/100</f>
        <v>0.7</v>
      </c>
      <c r="K18" s="331" t="s">
        <v>129</v>
      </c>
      <c r="L18" s="331" t="s">
        <v>162</v>
      </c>
    </row>
    <row r="19" spans="2:12" ht="15" customHeight="1" x14ac:dyDescent="0.25">
      <c r="B19" s="328" t="s">
        <v>22</v>
      </c>
      <c r="C19" s="329">
        <v>0.9</v>
      </c>
      <c r="D19" s="329">
        <v>0.9</v>
      </c>
      <c r="E19" s="329">
        <v>0.35</v>
      </c>
      <c r="F19" s="330">
        <f>'3b'!BP24</f>
        <v>0.13247126436781609</v>
      </c>
      <c r="G19" s="329">
        <f>VLOOKUP(B19,'4a -DM2 Ref'!$A$12:$K$44,11,0)/100</f>
        <v>0.22600000000000001</v>
      </c>
      <c r="H19" s="329">
        <f>'4b - Cálculo'!J20</f>
        <v>0.89299287410926365</v>
      </c>
      <c r="I19" s="329">
        <f>+VLOOKUP(B19,'5 - HTA ref'!$A$13:$K$45,11,0)/100</f>
        <v>0.40600000000000003</v>
      </c>
      <c r="J19" s="330">
        <f>'6 - meta 2023 Ref'!AL18/100</f>
        <v>0.57299999999999995</v>
      </c>
      <c r="K19" s="331" t="s">
        <v>129</v>
      </c>
      <c r="L19" s="331" t="s">
        <v>162</v>
      </c>
    </row>
    <row r="20" spans="2:12" ht="15" customHeight="1" x14ac:dyDescent="0.25">
      <c r="B20" s="328" t="s">
        <v>23</v>
      </c>
      <c r="C20" s="329">
        <v>0.9</v>
      </c>
      <c r="D20" s="329">
        <v>0.9</v>
      </c>
      <c r="E20" s="329">
        <v>0.35</v>
      </c>
      <c r="F20" s="330">
        <f>'3b'!BP25</f>
        <v>0.15</v>
      </c>
      <c r="G20" s="329">
        <f>VLOOKUP(B20,'4a -DM2 Ref'!$A$12:$K$44,11,0)/100</f>
        <v>0.26100000000000001</v>
      </c>
      <c r="H20" s="329">
        <f>'4b - Cálculo'!J21</f>
        <v>0.9</v>
      </c>
      <c r="I20" s="329">
        <f>+VLOOKUP(B20,'5 - HTA ref'!$A$13:$K$45,11,0)/100</f>
        <v>0.44400000000000001</v>
      </c>
      <c r="J20" s="330">
        <f>'6 - meta 2023 Ref'!AL19/100</f>
        <v>0.58499999999999996</v>
      </c>
      <c r="K20" s="331" t="s">
        <v>129</v>
      </c>
      <c r="L20" s="331" t="s">
        <v>162</v>
      </c>
    </row>
    <row r="21" spans="2:12" ht="15" customHeight="1" x14ac:dyDescent="0.25">
      <c r="B21" s="332" t="s">
        <v>161</v>
      </c>
      <c r="C21" s="333"/>
      <c r="D21" s="334"/>
      <c r="E21" s="335"/>
      <c r="F21" s="334"/>
      <c r="G21" s="334"/>
      <c r="H21" s="334"/>
      <c r="I21" s="334"/>
      <c r="J21" s="333"/>
      <c r="K21" s="333"/>
      <c r="L21" s="333"/>
    </row>
    <row r="22" spans="2:12" ht="15" customHeight="1" x14ac:dyDescent="0.25">
      <c r="B22" s="328" t="s">
        <v>24</v>
      </c>
      <c r="C22" s="329">
        <v>0.9</v>
      </c>
      <c r="D22" s="329">
        <v>0.9</v>
      </c>
      <c r="E22" s="329">
        <v>0.35</v>
      </c>
      <c r="F22" s="330">
        <f>'3b'!BP27</f>
        <v>0.15</v>
      </c>
      <c r="G22" s="329">
        <f>VLOOKUP(B22,'4a -DM2 Ref'!$A$12:$K$44,11,0)/100</f>
        <v>0.33500000000000002</v>
      </c>
      <c r="H22" s="329">
        <f>'4b - Cálculo'!J23</f>
        <v>0.9</v>
      </c>
      <c r="I22" s="329">
        <f>+VLOOKUP(B22,'5 - HTA ref'!$A$13:$K$45,11,0)/100</f>
        <v>0.5</v>
      </c>
      <c r="J22" s="330">
        <f>'6 - meta 2023 Ref'!AL21/100</f>
        <v>0.7</v>
      </c>
      <c r="K22" s="331" t="s">
        <v>129</v>
      </c>
      <c r="L22" s="331" t="s">
        <v>162</v>
      </c>
    </row>
    <row r="23" spans="2:12" ht="15" customHeight="1" x14ac:dyDescent="0.25">
      <c r="B23" s="328" t="s">
        <v>26</v>
      </c>
      <c r="C23" s="329">
        <v>0.9</v>
      </c>
      <c r="D23" s="329">
        <v>0.9</v>
      </c>
      <c r="E23" s="329">
        <v>0.35</v>
      </c>
      <c r="F23" s="330">
        <f>'3b'!BP28</f>
        <v>0.15</v>
      </c>
      <c r="G23" s="329">
        <f>VLOOKUP(B23,'4a -DM2 Ref'!$A$12:$K$44,11,0)/100</f>
        <v>0.35</v>
      </c>
      <c r="H23" s="329">
        <f>'4b - Cálculo'!J24</f>
        <v>0.81577181208053684</v>
      </c>
      <c r="I23" s="329">
        <f>+VLOOKUP(B23,'5 - HTA ref'!$A$13:$K$45,11,0)/100</f>
        <v>0.46799999999999997</v>
      </c>
      <c r="J23" s="330">
        <f>'6 - meta 2023 Ref'!AL22/100</f>
        <v>0.7</v>
      </c>
      <c r="K23" s="331" t="s">
        <v>129</v>
      </c>
      <c r="L23" s="331" t="s">
        <v>162</v>
      </c>
    </row>
    <row r="24" spans="2:12" ht="15" customHeight="1" x14ac:dyDescent="0.25">
      <c r="B24" s="328" t="s">
        <v>27</v>
      </c>
      <c r="C24" s="329">
        <v>0.9</v>
      </c>
      <c r="D24" s="329">
        <v>0.9</v>
      </c>
      <c r="E24" s="329">
        <v>0.35</v>
      </c>
      <c r="F24" s="330">
        <f>'3b'!BP29</f>
        <v>0.15</v>
      </c>
      <c r="G24" s="329">
        <f>VLOOKUP(B24,'4a -DM2 Ref'!$A$12:$K$44,11,0)/100</f>
        <v>0.34899999999999998</v>
      </c>
      <c r="H24" s="329">
        <f>'4b - Cálculo'!J25</f>
        <v>0.9</v>
      </c>
      <c r="I24" s="329">
        <f>+VLOOKUP(B24,'5 - HTA ref'!$A$13:$K$45,11,0)/100</f>
        <v>0.5</v>
      </c>
      <c r="J24" s="330">
        <f>'6 - meta 2023 Ref'!AL23/100</f>
        <v>0.6</v>
      </c>
      <c r="K24" s="331" t="s">
        <v>129</v>
      </c>
      <c r="L24" s="331" t="s">
        <v>162</v>
      </c>
    </row>
    <row r="25" spans="2:12" ht="15" customHeight="1" x14ac:dyDescent="0.25">
      <c r="B25" s="328" t="s">
        <v>28</v>
      </c>
      <c r="C25" s="329">
        <v>0.9</v>
      </c>
      <c r="D25" s="329">
        <v>0.9</v>
      </c>
      <c r="E25" s="329">
        <v>0.35</v>
      </c>
      <c r="F25" s="330">
        <f>'3b'!BP30</f>
        <v>0.15</v>
      </c>
      <c r="G25" s="329">
        <f>VLOOKUP(B25,'4a -DM2 Ref'!$A$12:$K$44,11,0)/100</f>
        <v>0.35</v>
      </c>
      <c r="H25" s="329">
        <f>'4b - Cálculo'!J26</f>
        <v>0.88314763231197779</v>
      </c>
      <c r="I25" s="329">
        <f>+VLOOKUP(B25,'5 - HTA ref'!$A$13:$K$45,11,0)/100</f>
        <v>0.5</v>
      </c>
      <c r="J25" s="330">
        <f>'6 - meta 2023 Ref'!AL24/100</f>
        <v>0.7</v>
      </c>
      <c r="K25" s="331" t="s">
        <v>129</v>
      </c>
      <c r="L25" s="331" t="s">
        <v>162</v>
      </c>
    </row>
    <row r="26" spans="2:12" ht="15" customHeight="1" x14ac:dyDescent="0.25">
      <c r="B26" s="328" t="s">
        <v>29</v>
      </c>
      <c r="C26" s="329">
        <v>0.9</v>
      </c>
      <c r="D26" s="329" t="s">
        <v>163</v>
      </c>
      <c r="E26" s="331" t="s">
        <v>163</v>
      </c>
      <c r="F26" s="336" t="s">
        <v>163</v>
      </c>
      <c r="G26" s="329">
        <f>VLOOKUP(B26,'4a -DM2 Ref'!$A$12:$K$44,11,0)/100</f>
        <v>0.35</v>
      </c>
      <c r="H26" s="329">
        <f>'4b - Cálculo'!J27</f>
        <v>0.9</v>
      </c>
      <c r="I26" s="329">
        <f>+VLOOKUP(B26,'5 - HTA ref'!$A$13:$K$45,11,0)/100</f>
        <v>0.35200000000000004</v>
      </c>
      <c r="J26" s="330" t="s">
        <v>163</v>
      </c>
      <c r="K26" s="331" t="s">
        <v>163</v>
      </c>
      <c r="L26" s="331" t="s">
        <v>162</v>
      </c>
    </row>
    <row r="27" spans="2:12" ht="15" customHeight="1" x14ac:dyDescent="0.25">
      <c r="B27" s="328" t="s">
        <v>30</v>
      </c>
      <c r="C27" s="329">
        <v>0.9</v>
      </c>
      <c r="D27" s="329">
        <v>0.9</v>
      </c>
      <c r="E27" s="329">
        <v>0.35</v>
      </c>
      <c r="F27" s="330">
        <f>'3b'!BP32</f>
        <v>0.15</v>
      </c>
      <c r="G27" s="329">
        <f>VLOOKUP(B27,'4a -DM2 Ref'!$A$12:$K$44,11,0)/100</f>
        <v>0.19699999999999998</v>
      </c>
      <c r="H27" s="329">
        <f>'4b - Cálculo'!J28</f>
        <v>0.84895470383275262</v>
      </c>
      <c r="I27" s="329">
        <f>+VLOOKUP(B27,'5 - HTA ref'!$A$13:$K$45,11,0)/100</f>
        <v>0.42299999999999999</v>
      </c>
      <c r="J27" s="330">
        <f>'6 - meta 2023 Ref'!AL26/100</f>
        <v>0.7</v>
      </c>
      <c r="K27" s="331" t="s">
        <v>129</v>
      </c>
      <c r="L27" s="331" t="s">
        <v>162</v>
      </c>
    </row>
    <row r="28" spans="2:12" ht="15" customHeight="1" x14ac:dyDescent="0.25">
      <c r="B28" s="328" t="s">
        <v>31</v>
      </c>
      <c r="C28" s="329">
        <v>0.9</v>
      </c>
      <c r="D28" s="329">
        <v>0.9</v>
      </c>
      <c r="E28" s="329">
        <v>0.35</v>
      </c>
      <c r="F28" s="330">
        <f>'3b'!BP33</f>
        <v>0.15</v>
      </c>
      <c r="G28" s="329">
        <f>VLOOKUP(B28,'4a -DM2 Ref'!$A$12:$K$44,11,0)/100</f>
        <v>0.23399999999999999</v>
      </c>
      <c r="H28" s="329">
        <f>'4b - Cálculo'!J29</f>
        <v>0.89025157232704411</v>
      </c>
      <c r="I28" s="329">
        <f>+VLOOKUP(B28,'5 - HTA ref'!$A$13:$K$45,11,0)/100</f>
        <v>0.433</v>
      </c>
      <c r="J28" s="330">
        <f>'6 - meta 2023 Ref'!AL27/100</f>
        <v>0.42</v>
      </c>
      <c r="K28" s="331" t="s">
        <v>129</v>
      </c>
      <c r="L28" s="331" t="s">
        <v>162</v>
      </c>
    </row>
    <row r="29" spans="2:12" ht="15" customHeight="1" x14ac:dyDescent="0.25">
      <c r="B29" s="335" t="s">
        <v>25</v>
      </c>
      <c r="C29" s="337"/>
      <c r="D29" s="337"/>
      <c r="E29" s="337"/>
      <c r="F29" s="338"/>
      <c r="G29" s="338"/>
      <c r="H29" s="338"/>
      <c r="I29" s="338"/>
      <c r="J29" s="334"/>
      <c r="K29" s="334"/>
      <c r="L29" s="334"/>
    </row>
    <row r="30" spans="2:12" ht="15" customHeight="1" x14ac:dyDescent="0.25">
      <c r="B30" s="328" t="s">
        <v>32</v>
      </c>
      <c r="C30" s="329">
        <v>0.9</v>
      </c>
      <c r="D30" s="329">
        <v>0.9</v>
      </c>
      <c r="E30" s="329">
        <v>0.35</v>
      </c>
      <c r="F30" s="330">
        <f>'3b'!BP35</f>
        <v>0.14807386814932486</v>
      </c>
      <c r="G30" s="329">
        <f>VLOOKUP(B30,'4a -DM2 Ref'!$A$12:$K$44,11,0)/100</f>
        <v>0.32700000000000001</v>
      </c>
      <c r="H30" s="329">
        <f>'4b - Cálculo'!J31</f>
        <v>0.88989361702127656</v>
      </c>
      <c r="I30" s="329">
        <f>+VLOOKUP(B30,'5 - HTA ref'!$A$13:$K$45,11,0)/100</f>
        <v>0.35299999999999998</v>
      </c>
      <c r="J30" s="330">
        <f>'6 - meta 2023 Ref'!AL29/100</f>
        <v>0.58700000000000008</v>
      </c>
      <c r="K30" s="331" t="s">
        <v>129</v>
      </c>
      <c r="L30" s="331" t="s">
        <v>162</v>
      </c>
    </row>
    <row r="31" spans="2:12" ht="15" customHeight="1" x14ac:dyDescent="0.25">
      <c r="B31" s="328" t="s">
        <v>34</v>
      </c>
      <c r="C31" s="329">
        <v>0.9</v>
      </c>
      <c r="D31" s="329">
        <v>0.9</v>
      </c>
      <c r="E31" s="329">
        <v>0.35</v>
      </c>
      <c r="F31" s="330">
        <f>'3b'!BP36</f>
        <v>0.13452380952380952</v>
      </c>
      <c r="G31" s="329">
        <f>VLOOKUP(B31,'4a -DM2 Ref'!$A$12:$K$44,11,0)/100</f>
        <v>0.35</v>
      </c>
      <c r="H31" s="329">
        <f>'4b - Cálculo'!J32</f>
        <v>0.9</v>
      </c>
      <c r="I31" s="329">
        <f>+VLOOKUP(B31,'5 - HTA ref'!$A$13:$K$45,11,0)/100</f>
        <v>0.40799999999999997</v>
      </c>
      <c r="J31" s="330">
        <f>'6 - meta 2023 Ref'!AL30/100</f>
        <v>0.7</v>
      </c>
      <c r="K31" s="331" t="s">
        <v>129</v>
      </c>
      <c r="L31" s="331" t="s">
        <v>162</v>
      </c>
    </row>
    <row r="32" spans="2:12" ht="15" customHeight="1" x14ac:dyDescent="0.25">
      <c r="B32" s="328" t="s">
        <v>35</v>
      </c>
      <c r="C32" s="329">
        <v>0.9</v>
      </c>
      <c r="D32" s="329">
        <v>0.9</v>
      </c>
      <c r="E32" s="329">
        <v>0.35</v>
      </c>
      <c r="F32" s="330">
        <f>'3b'!BP37</f>
        <v>0.14804347826086955</v>
      </c>
      <c r="G32" s="329">
        <f>VLOOKUP(B32,'4a -DM2 Ref'!$A$12:$K$44,11,0)/100</f>
        <v>0.34</v>
      </c>
      <c r="H32" s="329">
        <f>'4b - Cálculo'!J33</f>
        <v>0.85729379686434903</v>
      </c>
      <c r="I32" s="329">
        <f>+VLOOKUP(B32,'5 - HTA ref'!$A$13:$K$45,11,0)/100</f>
        <v>0.44299999999999995</v>
      </c>
      <c r="J32" s="330">
        <f>'6 - meta 2023 Ref'!AL31/100</f>
        <v>0.66304347826086951</v>
      </c>
      <c r="K32" s="331" t="s">
        <v>129</v>
      </c>
      <c r="L32" s="331" t="s">
        <v>162</v>
      </c>
    </row>
    <row r="33" spans="2:12" ht="15" customHeight="1" x14ac:dyDescent="0.25">
      <c r="B33" s="328" t="s">
        <v>36</v>
      </c>
      <c r="C33" s="329">
        <v>0.9</v>
      </c>
      <c r="D33" s="329">
        <v>0.9</v>
      </c>
      <c r="E33" s="329">
        <v>0.35</v>
      </c>
      <c r="F33" s="330">
        <f>'3b'!BP38</f>
        <v>0.12596660808435853</v>
      </c>
      <c r="G33" s="329">
        <f>VLOOKUP(B33,'4a -DM2 Ref'!$A$12:$K$44,11,0)/100</f>
        <v>0.313</v>
      </c>
      <c r="H33" s="329">
        <f>'4b - Cálculo'!J34</f>
        <v>0.89565217391304353</v>
      </c>
      <c r="I33" s="329">
        <f>+VLOOKUP(B33,'5 - HTA ref'!$A$13:$K$45,11,0)/100</f>
        <v>0.35700000000000004</v>
      </c>
      <c r="J33" s="330">
        <f>'6 - meta 2023 Ref'!AL32/100</f>
        <v>0.61983471074380159</v>
      </c>
      <c r="K33" s="331" t="s">
        <v>129</v>
      </c>
      <c r="L33" s="331" t="s">
        <v>162</v>
      </c>
    </row>
    <row r="34" spans="2:12" ht="15" customHeight="1" x14ac:dyDescent="0.25">
      <c r="B34" s="328" t="s">
        <v>37</v>
      </c>
      <c r="C34" s="329">
        <v>0.9</v>
      </c>
      <c r="D34" s="329">
        <v>0.9</v>
      </c>
      <c r="E34" s="329">
        <v>0.35</v>
      </c>
      <c r="F34" s="330">
        <f>'3b'!BP39</f>
        <v>0.13842494714587739</v>
      </c>
      <c r="G34" s="329">
        <f>VLOOKUP(B34,'4a -DM2 Ref'!$A$12:$K$44,11,0)/100</f>
        <v>0.247</v>
      </c>
      <c r="H34" s="329">
        <f>'4b - Cálculo'!J35</f>
        <v>0.8937229437229437</v>
      </c>
      <c r="I34" s="329">
        <f>+VLOOKUP(B34,'5 - HTA ref'!$A$13:$K$45,11,0)/100</f>
        <v>0.32500000000000001</v>
      </c>
      <c r="J34" s="330">
        <f>'6 - meta 2023 Ref'!AL33/100</f>
        <v>0.48799999999999999</v>
      </c>
      <c r="K34" s="331" t="s">
        <v>129</v>
      </c>
      <c r="L34" s="331" t="s">
        <v>162</v>
      </c>
    </row>
    <row r="35" spans="2:12" ht="15" customHeight="1" x14ac:dyDescent="0.25">
      <c r="B35" s="328" t="s">
        <v>38</v>
      </c>
      <c r="C35" s="329">
        <v>0.9</v>
      </c>
      <c r="D35" s="329">
        <v>0.9</v>
      </c>
      <c r="E35" s="329">
        <v>0.35</v>
      </c>
      <c r="F35" s="330">
        <f>'3b'!BP40</f>
        <v>0.15</v>
      </c>
      <c r="G35" s="329">
        <f>VLOOKUP(B35,'4a -DM2 Ref'!$A$12:$K$44,11,0)/100</f>
        <v>0.28399999999999997</v>
      </c>
      <c r="H35" s="329">
        <f>'4b - Cálculo'!J36</f>
        <v>0.8450338600451468</v>
      </c>
      <c r="I35" s="329">
        <f>+VLOOKUP(B35,'5 - HTA ref'!$A$13:$K$45,11,0)/100</f>
        <v>0.5</v>
      </c>
      <c r="J35" s="330">
        <f>'6 - meta 2023 Ref'!AL34/100</f>
        <v>0.7</v>
      </c>
      <c r="K35" s="331" t="s">
        <v>129</v>
      </c>
      <c r="L35" s="331" t="s">
        <v>162</v>
      </c>
    </row>
    <row r="36" spans="2:12" ht="15" customHeight="1" x14ac:dyDescent="0.25">
      <c r="B36" s="328" t="s">
        <v>39</v>
      </c>
      <c r="C36" s="329">
        <v>0.9</v>
      </c>
      <c r="D36" s="329">
        <v>0.9</v>
      </c>
      <c r="E36" s="329">
        <v>0.35</v>
      </c>
      <c r="F36" s="330">
        <f>'3b'!BP41</f>
        <v>0.15</v>
      </c>
      <c r="G36" s="329">
        <f>VLOOKUP(B36,'4a -DM2 Ref'!$A$12:$K$44,11,0)/100</f>
        <v>0.28899999999999998</v>
      </c>
      <c r="H36" s="329">
        <f>'4b - Cálculo'!J37</f>
        <v>0.86718027734976877</v>
      </c>
      <c r="I36" s="329">
        <f>+VLOOKUP(B36,'5 - HTA ref'!$A$13:$K$45,11,0)/100</f>
        <v>0.5</v>
      </c>
      <c r="J36" s="330">
        <f>'6 - meta 2023 Ref'!AL35/100</f>
        <v>0.55200000000000005</v>
      </c>
      <c r="K36" s="331" t="s">
        <v>129</v>
      </c>
      <c r="L36" s="331" t="s">
        <v>162</v>
      </c>
    </row>
    <row r="37" spans="2:12" ht="15" customHeight="1" x14ac:dyDescent="0.35">
      <c r="B37" s="335" t="s">
        <v>33</v>
      </c>
      <c r="C37" s="339"/>
      <c r="D37" s="339"/>
      <c r="E37" s="339"/>
      <c r="F37" s="340"/>
      <c r="G37" s="340"/>
      <c r="H37" s="340"/>
      <c r="I37" s="340"/>
      <c r="J37" s="339"/>
      <c r="K37" s="341"/>
      <c r="L37" s="341"/>
    </row>
    <row r="38" spans="2:12" x14ac:dyDescent="0.25">
      <c r="B38" s="584" t="s">
        <v>362</v>
      </c>
    </row>
    <row r="39" spans="2:12" x14ac:dyDescent="0.25">
      <c r="B39" s="584" t="s">
        <v>363</v>
      </c>
    </row>
    <row r="40" spans="2:12" x14ac:dyDescent="0.25">
      <c r="B40" s="584" t="s">
        <v>364</v>
      </c>
    </row>
    <row r="41" spans="2:12" x14ac:dyDescent="0.25">
      <c r="B41" s="584" t="s">
        <v>365</v>
      </c>
    </row>
    <row r="42" spans="2:12" x14ac:dyDescent="0.25">
      <c r="B42" s="584" t="s">
        <v>366</v>
      </c>
    </row>
    <row r="43" spans="2:12" x14ac:dyDescent="0.25">
      <c r="B43" s="584" t="s">
        <v>368</v>
      </c>
    </row>
    <row r="44" spans="2:12" x14ac:dyDescent="0.25">
      <c r="B44" s="584" t="s">
        <v>369</v>
      </c>
    </row>
    <row r="45" spans="2:12" x14ac:dyDescent="0.25">
      <c r="B45" s="584" t="s">
        <v>370</v>
      </c>
    </row>
    <row r="46" spans="2:12" x14ac:dyDescent="0.25">
      <c r="B46" s="585" t="s">
        <v>372</v>
      </c>
    </row>
    <row r="47" spans="2:12" x14ac:dyDescent="0.25">
      <c r="B47" s="584" t="s">
        <v>371</v>
      </c>
    </row>
    <row r="48" spans="2:12" x14ac:dyDescent="0.25">
      <c r="B48" s="584"/>
    </row>
  </sheetData>
  <mergeCells count="1">
    <mergeCell ref="B1:B2"/>
  </mergeCells>
  <pageMargins left="0.25" right="0.25" top="0.56999999999999995" bottom="0.42" header="0.33" footer="0.3"/>
  <pageSetup paperSize="9" scale="80" orientation="landscape" verticalDpi="0" r:id="rId1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5F603-76D9-4AD7-88AA-A43DDB9FFFD0}">
  <dimension ref="A2:L39"/>
  <sheetViews>
    <sheetView showGridLines="0" tabSelected="1" workbookViewId="0">
      <selection activeCell="N1" sqref="N1"/>
    </sheetView>
  </sheetViews>
  <sheetFormatPr baseColWidth="10" defaultRowHeight="15" x14ac:dyDescent="0.25"/>
  <cols>
    <col min="1" max="1" width="4.5703125" customWidth="1"/>
    <col min="2" max="2" width="28.140625" customWidth="1"/>
    <col min="3" max="9" width="11.42578125" customWidth="1"/>
  </cols>
  <sheetData>
    <row r="2" spans="1:12" x14ac:dyDescent="0.25">
      <c r="C2" s="134" t="s">
        <v>376</v>
      </c>
      <c r="D2" s="134" t="s">
        <v>379</v>
      </c>
      <c r="E2" s="134" t="s">
        <v>377</v>
      </c>
      <c r="F2" s="134" t="s">
        <v>83</v>
      </c>
      <c r="G2" s="134" t="s">
        <v>380</v>
      </c>
      <c r="H2" s="134" t="s">
        <v>378</v>
      </c>
      <c r="I2" s="134" t="s">
        <v>381</v>
      </c>
      <c r="J2" s="134" t="s">
        <v>382</v>
      </c>
      <c r="K2" s="134" t="s">
        <v>383</v>
      </c>
      <c r="L2" s="134" t="s">
        <v>384</v>
      </c>
    </row>
    <row r="3" spans="1:12" x14ac:dyDescent="0.25">
      <c r="B3" s="815">
        <v>2023</v>
      </c>
      <c r="C3" s="327" t="s">
        <v>386</v>
      </c>
      <c r="D3" s="327" t="s">
        <v>387</v>
      </c>
      <c r="E3" s="327" t="s">
        <v>388</v>
      </c>
      <c r="F3" s="327" t="s">
        <v>389</v>
      </c>
      <c r="G3" s="327" t="s">
        <v>390</v>
      </c>
      <c r="H3" s="327" t="s">
        <v>391</v>
      </c>
      <c r="I3" s="327" t="s">
        <v>392</v>
      </c>
      <c r="J3" s="327" t="s">
        <v>393</v>
      </c>
      <c r="K3" s="327" t="s">
        <v>394</v>
      </c>
      <c r="L3" s="327" t="s">
        <v>395</v>
      </c>
    </row>
    <row r="4" spans="1:12" x14ac:dyDescent="0.25">
      <c r="B4" s="816"/>
      <c r="C4" s="327" t="s">
        <v>155</v>
      </c>
      <c r="D4" s="327" t="s">
        <v>43</v>
      </c>
      <c r="E4" s="327" t="s">
        <v>156</v>
      </c>
      <c r="F4" s="327" t="s">
        <v>385</v>
      </c>
      <c r="G4" s="327" t="s">
        <v>375</v>
      </c>
      <c r="H4" s="327" t="s">
        <v>155</v>
      </c>
      <c r="I4" s="327" t="s">
        <v>158</v>
      </c>
      <c r="J4" s="327" t="s">
        <v>159</v>
      </c>
      <c r="K4" s="327" t="s">
        <v>129</v>
      </c>
      <c r="L4" s="327" t="s">
        <v>160</v>
      </c>
    </row>
    <row r="5" spans="1:12" x14ac:dyDescent="0.25">
      <c r="B5" s="342" t="s">
        <v>107</v>
      </c>
      <c r="C5" s="327" t="s">
        <v>109</v>
      </c>
      <c r="D5" s="327" t="s">
        <v>356</v>
      </c>
      <c r="E5" s="327" t="s">
        <v>109</v>
      </c>
      <c r="F5" s="327" t="s">
        <v>109</v>
      </c>
      <c r="G5" s="327" t="s">
        <v>109</v>
      </c>
      <c r="H5" s="327" t="s">
        <v>109</v>
      </c>
      <c r="I5" s="327" t="s">
        <v>109</v>
      </c>
      <c r="J5" s="327" t="s">
        <v>109</v>
      </c>
      <c r="K5" s="327" t="s">
        <v>109</v>
      </c>
      <c r="L5" s="327" t="s">
        <v>109</v>
      </c>
    </row>
    <row r="6" spans="1:12" x14ac:dyDescent="0.25">
      <c r="A6">
        <v>1</v>
      </c>
      <c r="B6" s="328" t="s">
        <v>6</v>
      </c>
      <c r="C6" s="329">
        <v>0.9</v>
      </c>
      <c r="D6" s="329">
        <v>0.9</v>
      </c>
      <c r="E6" s="329">
        <v>0.35</v>
      </c>
      <c r="F6" s="330">
        <v>0.15</v>
      </c>
      <c r="G6" s="329">
        <v>0.23899999999999999</v>
      </c>
      <c r="H6" s="329">
        <v>0.83976529434397851</v>
      </c>
      <c r="I6" s="329">
        <v>0.30099999999999999</v>
      </c>
      <c r="J6" s="330">
        <v>0.6</v>
      </c>
      <c r="K6" s="331" t="s">
        <v>129</v>
      </c>
      <c r="L6" s="331" t="s">
        <v>162</v>
      </c>
    </row>
    <row r="7" spans="1:12" x14ac:dyDescent="0.25">
      <c r="A7">
        <v>2</v>
      </c>
      <c r="B7" s="328" t="s">
        <v>8</v>
      </c>
      <c r="C7" s="329">
        <v>0.9</v>
      </c>
      <c r="D7" s="329">
        <v>0.9</v>
      </c>
      <c r="E7" s="329">
        <v>0.35</v>
      </c>
      <c r="F7" s="330">
        <v>0.15</v>
      </c>
      <c r="G7" s="329">
        <v>0.253</v>
      </c>
      <c r="H7" s="329">
        <v>0.7023465703971119</v>
      </c>
      <c r="I7" s="329">
        <v>0.29699999999999999</v>
      </c>
      <c r="J7" s="330">
        <v>0.69291338582677175</v>
      </c>
      <c r="K7" s="331" t="s">
        <v>129</v>
      </c>
      <c r="L7" s="331" t="s">
        <v>162</v>
      </c>
    </row>
    <row r="8" spans="1:12" x14ac:dyDescent="0.25">
      <c r="A8">
        <v>3</v>
      </c>
      <c r="B8" s="328" t="s">
        <v>9</v>
      </c>
      <c r="C8" s="329">
        <v>0.9</v>
      </c>
      <c r="D8" s="329">
        <v>0.9</v>
      </c>
      <c r="E8" s="329">
        <v>0.35</v>
      </c>
      <c r="F8" s="330">
        <v>0.15</v>
      </c>
      <c r="G8" s="329">
        <v>0.27500000000000002</v>
      </c>
      <c r="H8" s="329">
        <v>0.60084388185654014</v>
      </c>
      <c r="I8" s="329">
        <v>0.40399999999999997</v>
      </c>
      <c r="J8" s="330">
        <v>0.60784313725490191</v>
      </c>
      <c r="K8" s="331" t="s">
        <v>129</v>
      </c>
      <c r="L8" s="331" t="s">
        <v>162</v>
      </c>
    </row>
    <row r="9" spans="1:12" x14ac:dyDescent="0.25">
      <c r="A9">
        <v>4</v>
      </c>
      <c r="B9" s="328" t="s">
        <v>10</v>
      </c>
      <c r="C9" s="329">
        <v>0.9</v>
      </c>
      <c r="D9" s="329">
        <v>0.9</v>
      </c>
      <c r="E9" s="329">
        <v>0.35</v>
      </c>
      <c r="F9" s="330">
        <v>0.15</v>
      </c>
      <c r="G9" s="329">
        <v>0.27699999999999997</v>
      </c>
      <c r="H9" s="329">
        <v>0.85931372549019613</v>
      </c>
      <c r="I9" s="329">
        <v>0.38200000000000001</v>
      </c>
      <c r="J9" s="330">
        <v>0.7</v>
      </c>
      <c r="K9" s="331" t="s">
        <v>129</v>
      </c>
      <c r="L9" s="331" t="s">
        <v>162</v>
      </c>
    </row>
    <row r="10" spans="1:12" x14ac:dyDescent="0.25">
      <c r="A10">
        <v>5</v>
      </c>
      <c r="B10" s="328" t="s">
        <v>11</v>
      </c>
      <c r="C10" s="329">
        <v>0.9</v>
      </c>
      <c r="D10" s="329">
        <v>0.9</v>
      </c>
      <c r="E10" s="329">
        <v>0.35</v>
      </c>
      <c r="F10" s="330">
        <v>0.15</v>
      </c>
      <c r="G10" s="329">
        <v>0.33299999999999996</v>
      </c>
      <c r="H10" s="329">
        <v>0.83059231253938259</v>
      </c>
      <c r="I10" s="329">
        <v>0.5</v>
      </c>
      <c r="J10" s="330">
        <v>0.60126582278481011</v>
      </c>
      <c r="K10" s="331" t="s">
        <v>129</v>
      </c>
      <c r="L10" s="331" t="s">
        <v>162</v>
      </c>
    </row>
    <row r="11" spans="1:12" x14ac:dyDescent="0.25">
      <c r="A11">
        <v>6</v>
      </c>
      <c r="B11" s="328" t="s">
        <v>12</v>
      </c>
      <c r="C11" s="329">
        <v>0.9</v>
      </c>
      <c r="D11" s="329">
        <v>0.9</v>
      </c>
      <c r="E11" s="329">
        <v>0.35</v>
      </c>
      <c r="F11" s="330">
        <v>0.15</v>
      </c>
      <c r="G11" s="329">
        <v>0.22699999999999998</v>
      </c>
      <c r="H11" s="329">
        <v>0.86417497231450724</v>
      </c>
      <c r="I11" s="329">
        <v>0.33799999999999997</v>
      </c>
      <c r="J11" s="330">
        <v>0.6</v>
      </c>
      <c r="K11" s="331" t="s">
        <v>129</v>
      </c>
      <c r="L11" s="331" t="s">
        <v>162</v>
      </c>
    </row>
    <row r="12" spans="1:12" x14ac:dyDescent="0.25">
      <c r="A12">
        <v>7</v>
      </c>
      <c r="B12" s="328" t="s">
        <v>13</v>
      </c>
      <c r="C12" s="329">
        <v>0.9</v>
      </c>
      <c r="D12" s="329">
        <v>0.9</v>
      </c>
      <c r="E12" s="329">
        <v>0.35</v>
      </c>
      <c r="F12" s="330">
        <v>0.10398550724637681</v>
      </c>
      <c r="G12" s="329">
        <v>0.28399999999999997</v>
      </c>
      <c r="H12" s="329">
        <v>0.88591455273698261</v>
      </c>
      <c r="I12" s="329">
        <v>0.35</v>
      </c>
      <c r="J12" s="330">
        <v>0.66883116883116889</v>
      </c>
      <c r="K12" s="331" t="s">
        <v>129</v>
      </c>
      <c r="L12" s="331" t="s">
        <v>162</v>
      </c>
    </row>
    <row r="13" spans="1:12" x14ac:dyDescent="0.25">
      <c r="A13">
        <v>8</v>
      </c>
      <c r="B13" s="328" t="s">
        <v>14</v>
      </c>
      <c r="C13" s="329">
        <v>0.9</v>
      </c>
      <c r="D13" s="329">
        <v>0.9</v>
      </c>
      <c r="E13" s="329">
        <v>0.35</v>
      </c>
      <c r="F13" s="330">
        <v>0.15</v>
      </c>
      <c r="G13" s="329">
        <v>0.26800000000000002</v>
      </c>
      <c r="H13" s="329">
        <v>0.8888674388674388</v>
      </c>
      <c r="I13" s="329">
        <v>0.33899999999999997</v>
      </c>
      <c r="J13" s="330">
        <v>0.56299999999999994</v>
      </c>
      <c r="K13" s="331" t="s">
        <v>129</v>
      </c>
      <c r="L13" s="331" t="s">
        <v>162</v>
      </c>
    </row>
    <row r="14" spans="1:12" x14ac:dyDescent="0.25">
      <c r="A14">
        <v>9</v>
      </c>
      <c r="B14" s="328" t="s">
        <v>15</v>
      </c>
      <c r="C14" s="329">
        <v>0.9</v>
      </c>
      <c r="D14" s="329">
        <v>0.9</v>
      </c>
      <c r="E14" s="329">
        <v>0.35</v>
      </c>
      <c r="F14" s="330">
        <v>0.15</v>
      </c>
      <c r="G14" s="329">
        <v>0.23600000000000002</v>
      </c>
      <c r="H14" s="329">
        <v>0.89942196531791907</v>
      </c>
      <c r="I14" s="329">
        <v>0.46700000000000003</v>
      </c>
      <c r="J14" s="330">
        <v>0.7</v>
      </c>
      <c r="K14" s="331" t="s">
        <v>129</v>
      </c>
      <c r="L14" s="331" t="s">
        <v>162</v>
      </c>
    </row>
    <row r="15" spans="1:12" x14ac:dyDescent="0.25">
      <c r="A15">
        <v>10</v>
      </c>
      <c r="B15" s="328" t="s">
        <v>16</v>
      </c>
      <c r="C15" s="329">
        <v>0.9</v>
      </c>
      <c r="D15" s="329">
        <v>0.9</v>
      </c>
      <c r="E15" s="329">
        <v>0.35</v>
      </c>
      <c r="F15" s="330">
        <v>0.15</v>
      </c>
      <c r="G15" s="329">
        <v>0.29899999999999999</v>
      </c>
      <c r="H15" s="329">
        <v>0.85498034076015728</v>
      </c>
      <c r="I15" s="329">
        <v>0.5</v>
      </c>
      <c r="J15" s="330">
        <v>0.7</v>
      </c>
      <c r="K15" s="331" t="s">
        <v>129</v>
      </c>
      <c r="L15" s="331" t="s">
        <v>162</v>
      </c>
    </row>
    <row r="16" spans="1:12" x14ac:dyDescent="0.25">
      <c r="A16">
        <v>11</v>
      </c>
      <c r="B16" s="328" t="s">
        <v>17</v>
      </c>
      <c r="C16" s="329">
        <v>0.9</v>
      </c>
      <c r="D16" s="329">
        <v>0.9</v>
      </c>
      <c r="E16" s="329">
        <v>0.35</v>
      </c>
      <c r="F16" s="330">
        <v>0.15</v>
      </c>
      <c r="G16" s="329">
        <v>0.29299999999999998</v>
      </c>
      <c r="H16" s="329">
        <v>0.80864093959731553</v>
      </c>
      <c r="I16" s="329">
        <v>0.45500000000000002</v>
      </c>
      <c r="J16" s="330">
        <v>0.49299999999999999</v>
      </c>
      <c r="K16" s="331" t="s">
        <v>129</v>
      </c>
      <c r="L16" s="331" t="s">
        <v>162</v>
      </c>
    </row>
    <row r="17" spans="1:12" x14ac:dyDescent="0.25">
      <c r="A17">
        <v>12</v>
      </c>
      <c r="B17" s="328" t="s">
        <v>18</v>
      </c>
      <c r="C17" s="329">
        <v>0.9</v>
      </c>
      <c r="D17" s="329">
        <v>0.9</v>
      </c>
      <c r="E17" s="329">
        <v>0.35</v>
      </c>
      <c r="F17" s="330">
        <v>0.15</v>
      </c>
      <c r="G17" s="329">
        <v>0.30399999999999999</v>
      </c>
      <c r="H17" s="329">
        <v>0.82049433573635433</v>
      </c>
      <c r="I17" s="329">
        <v>0.41899999999999998</v>
      </c>
      <c r="J17" s="330">
        <v>0.49399999999999999</v>
      </c>
      <c r="K17" s="331" t="s">
        <v>129</v>
      </c>
      <c r="L17" s="331" t="s">
        <v>162</v>
      </c>
    </row>
    <row r="18" spans="1:12" x14ac:dyDescent="0.25">
      <c r="A18">
        <v>13</v>
      </c>
      <c r="B18" s="328" t="s">
        <v>19</v>
      </c>
      <c r="C18" s="329">
        <v>0.9</v>
      </c>
      <c r="D18" s="329">
        <v>0.9</v>
      </c>
      <c r="E18" s="329">
        <v>0.35</v>
      </c>
      <c r="F18" s="330">
        <v>0.15</v>
      </c>
      <c r="G18" s="329">
        <v>0.23600000000000002</v>
      </c>
      <c r="H18" s="329">
        <v>0.9</v>
      </c>
      <c r="I18" s="329">
        <v>0.5</v>
      </c>
      <c r="J18" s="330">
        <v>0.7</v>
      </c>
      <c r="K18" s="331" t="s">
        <v>129</v>
      </c>
      <c r="L18" s="331" t="s">
        <v>162</v>
      </c>
    </row>
    <row r="19" spans="1:12" x14ac:dyDescent="0.25">
      <c r="A19">
        <v>14</v>
      </c>
      <c r="B19" s="328" t="s">
        <v>20</v>
      </c>
      <c r="C19" s="329">
        <v>0.9</v>
      </c>
      <c r="D19" s="329">
        <v>0.9</v>
      </c>
      <c r="E19" s="329">
        <v>0.35</v>
      </c>
      <c r="F19" s="330">
        <v>0.15</v>
      </c>
      <c r="G19" s="329">
        <v>0.28800000000000003</v>
      </c>
      <c r="H19" s="329">
        <v>0.85986717267552193</v>
      </c>
      <c r="I19" s="329">
        <v>0.5</v>
      </c>
      <c r="J19" s="330">
        <v>0.68965517241379315</v>
      </c>
      <c r="K19" s="331" t="s">
        <v>129</v>
      </c>
      <c r="L19" s="331" t="s">
        <v>162</v>
      </c>
    </row>
    <row r="20" spans="1:12" x14ac:dyDescent="0.25">
      <c r="A20">
        <v>15</v>
      </c>
      <c r="B20" s="328" t="s">
        <v>21</v>
      </c>
      <c r="C20" s="329">
        <v>0.9</v>
      </c>
      <c r="D20" s="329">
        <v>0.9</v>
      </c>
      <c r="E20" s="329">
        <v>0.35</v>
      </c>
      <c r="F20" s="330">
        <v>0.14430693069306932</v>
      </c>
      <c r="G20" s="329">
        <v>0.33200000000000002</v>
      </c>
      <c r="H20" s="329">
        <v>0.88294117647058823</v>
      </c>
      <c r="I20" s="329">
        <v>0.48899999999999999</v>
      </c>
      <c r="J20" s="330">
        <v>0.7</v>
      </c>
      <c r="K20" s="331" t="s">
        <v>129</v>
      </c>
      <c r="L20" s="331" t="s">
        <v>162</v>
      </c>
    </row>
    <row r="21" spans="1:12" x14ac:dyDescent="0.25">
      <c r="A21">
        <v>16</v>
      </c>
      <c r="B21" s="328" t="s">
        <v>22</v>
      </c>
      <c r="C21" s="329">
        <v>0.9</v>
      </c>
      <c r="D21" s="329">
        <v>0.9</v>
      </c>
      <c r="E21" s="329">
        <v>0.35</v>
      </c>
      <c r="F21" s="330">
        <v>0.13247126436781609</v>
      </c>
      <c r="G21" s="329">
        <v>0.22600000000000001</v>
      </c>
      <c r="H21" s="329">
        <v>0.89299287410926365</v>
      </c>
      <c r="I21" s="329">
        <v>0.40600000000000003</v>
      </c>
      <c r="J21" s="330">
        <v>0.57299999999999995</v>
      </c>
      <c r="K21" s="331" t="s">
        <v>129</v>
      </c>
      <c r="L21" s="331" t="s">
        <v>162</v>
      </c>
    </row>
    <row r="22" spans="1:12" x14ac:dyDescent="0.25">
      <c r="A22">
        <v>17</v>
      </c>
      <c r="B22" s="328" t="s">
        <v>23</v>
      </c>
      <c r="C22" s="329">
        <v>0.9</v>
      </c>
      <c r="D22" s="329">
        <v>0.9</v>
      </c>
      <c r="E22" s="329">
        <v>0.35</v>
      </c>
      <c r="F22" s="330">
        <v>0.15</v>
      </c>
      <c r="G22" s="329">
        <v>0.26100000000000001</v>
      </c>
      <c r="H22" s="329">
        <v>0.9</v>
      </c>
      <c r="I22" s="329">
        <v>0.44400000000000001</v>
      </c>
      <c r="J22" s="330">
        <v>0.58499999999999996</v>
      </c>
      <c r="K22" s="331" t="s">
        <v>129</v>
      </c>
      <c r="L22" s="331" t="s">
        <v>162</v>
      </c>
    </row>
    <row r="23" spans="1:12" x14ac:dyDescent="0.25">
      <c r="A23">
        <v>18</v>
      </c>
      <c r="B23" s="332" t="s">
        <v>374</v>
      </c>
      <c r="C23" s="333"/>
      <c r="D23" s="334"/>
      <c r="E23" s="335"/>
      <c r="F23" s="334"/>
      <c r="G23" s="334"/>
      <c r="H23" s="334"/>
      <c r="I23" s="334"/>
      <c r="J23" s="333"/>
      <c r="K23" s="333"/>
      <c r="L23" s="333"/>
    </row>
    <row r="24" spans="1:12" x14ac:dyDescent="0.25">
      <c r="A24">
        <v>19</v>
      </c>
      <c r="B24" s="328" t="s">
        <v>24</v>
      </c>
      <c r="C24" s="329">
        <v>0.9</v>
      </c>
      <c r="D24" s="329">
        <v>0.9</v>
      </c>
      <c r="E24" s="329">
        <v>0.35</v>
      </c>
      <c r="F24" s="330">
        <v>0.15</v>
      </c>
      <c r="G24" s="329">
        <v>0.33500000000000002</v>
      </c>
      <c r="H24" s="329">
        <v>0.9</v>
      </c>
      <c r="I24" s="329">
        <v>0.5</v>
      </c>
      <c r="J24" s="330">
        <v>0.7</v>
      </c>
      <c r="K24" s="331" t="s">
        <v>129</v>
      </c>
      <c r="L24" s="331" t="s">
        <v>162</v>
      </c>
    </row>
    <row r="25" spans="1:12" x14ac:dyDescent="0.25">
      <c r="A25">
        <v>20</v>
      </c>
      <c r="B25" s="328" t="s">
        <v>26</v>
      </c>
      <c r="C25" s="329">
        <v>0.9</v>
      </c>
      <c r="D25" s="329">
        <v>0.9</v>
      </c>
      <c r="E25" s="329">
        <v>0.35</v>
      </c>
      <c r="F25" s="330">
        <v>0.15</v>
      </c>
      <c r="G25" s="329">
        <v>0.35</v>
      </c>
      <c r="H25" s="329">
        <v>0.81577181208053684</v>
      </c>
      <c r="I25" s="329">
        <v>0.46799999999999997</v>
      </c>
      <c r="J25" s="330">
        <v>0.7</v>
      </c>
      <c r="K25" s="331" t="s">
        <v>129</v>
      </c>
      <c r="L25" s="331" t="s">
        <v>162</v>
      </c>
    </row>
    <row r="26" spans="1:12" x14ac:dyDescent="0.25">
      <c r="A26">
        <v>21</v>
      </c>
      <c r="B26" s="328" t="s">
        <v>27</v>
      </c>
      <c r="C26" s="329">
        <v>0.9</v>
      </c>
      <c r="D26" s="329">
        <v>0.9</v>
      </c>
      <c r="E26" s="329">
        <v>0.35</v>
      </c>
      <c r="F26" s="330">
        <v>0.15</v>
      </c>
      <c r="G26" s="329">
        <v>0.34899999999999998</v>
      </c>
      <c r="H26" s="329">
        <v>0.9</v>
      </c>
      <c r="I26" s="329">
        <v>0.5</v>
      </c>
      <c r="J26" s="330">
        <v>0.6</v>
      </c>
      <c r="K26" s="331" t="s">
        <v>129</v>
      </c>
      <c r="L26" s="331" t="s">
        <v>162</v>
      </c>
    </row>
    <row r="27" spans="1:12" x14ac:dyDescent="0.25">
      <c r="A27">
        <v>22</v>
      </c>
      <c r="B27" s="328" t="s">
        <v>28</v>
      </c>
      <c r="C27" s="329">
        <v>0.9</v>
      </c>
      <c r="D27" s="329">
        <v>0.9</v>
      </c>
      <c r="E27" s="329">
        <v>0.35</v>
      </c>
      <c r="F27" s="330">
        <v>0.15</v>
      </c>
      <c r="G27" s="329">
        <v>0.35</v>
      </c>
      <c r="H27" s="329">
        <v>0.88314763231197779</v>
      </c>
      <c r="I27" s="329">
        <v>0.5</v>
      </c>
      <c r="J27" s="330">
        <v>0.7</v>
      </c>
      <c r="K27" s="331" t="s">
        <v>129</v>
      </c>
      <c r="L27" s="331" t="s">
        <v>162</v>
      </c>
    </row>
    <row r="28" spans="1:12" x14ac:dyDescent="0.25">
      <c r="A28">
        <v>23</v>
      </c>
      <c r="B28" s="328" t="s">
        <v>29</v>
      </c>
      <c r="C28" s="329">
        <v>0.9</v>
      </c>
      <c r="D28" s="329" t="s">
        <v>163</v>
      </c>
      <c r="E28" s="331" t="s">
        <v>163</v>
      </c>
      <c r="F28" s="336" t="s">
        <v>163</v>
      </c>
      <c r="G28" s="329">
        <v>0.35</v>
      </c>
      <c r="H28" s="329">
        <v>0.9</v>
      </c>
      <c r="I28" s="329">
        <v>0.35200000000000004</v>
      </c>
      <c r="J28" s="330" t="s">
        <v>163</v>
      </c>
      <c r="K28" s="331" t="s">
        <v>163</v>
      </c>
      <c r="L28" s="331" t="s">
        <v>162</v>
      </c>
    </row>
    <row r="29" spans="1:12" x14ac:dyDescent="0.25">
      <c r="A29">
        <v>24</v>
      </c>
      <c r="B29" s="328" t="s">
        <v>30</v>
      </c>
      <c r="C29" s="329">
        <v>0.9</v>
      </c>
      <c r="D29" s="329">
        <v>0.9</v>
      </c>
      <c r="E29" s="329">
        <v>0.35</v>
      </c>
      <c r="F29" s="330">
        <v>0.15</v>
      </c>
      <c r="G29" s="329">
        <v>0.19699999999999998</v>
      </c>
      <c r="H29" s="329">
        <v>0.84895470383275262</v>
      </c>
      <c r="I29" s="329">
        <v>0.42299999999999999</v>
      </c>
      <c r="J29" s="330">
        <v>0.7</v>
      </c>
      <c r="K29" s="331" t="s">
        <v>129</v>
      </c>
      <c r="L29" s="331" t="s">
        <v>162</v>
      </c>
    </row>
    <row r="30" spans="1:12" x14ac:dyDescent="0.25">
      <c r="A30">
        <v>25</v>
      </c>
      <c r="B30" s="328" t="s">
        <v>31</v>
      </c>
      <c r="C30" s="329">
        <v>0.9</v>
      </c>
      <c r="D30" s="329">
        <v>0.9</v>
      </c>
      <c r="E30" s="329">
        <v>0.35</v>
      </c>
      <c r="F30" s="330">
        <v>0.15</v>
      </c>
      <c r="G30" s="329">
        <v>0.23399999999999999</v>
      </c>
      <c r="H30" s="329">
        <v>0.89025157232704411</v>
      </c>
      <c r="I30" s="329">
        <v>0.433</v>
      </c>
      <c r="J30" s="330">
        <v>0.42</v>
      </c>
      <c r="K30" s="331" t="s">
        <v>129</v>
      </c>
      <c r="L30" s="331" t="s">
        <v>162</v>
      </c>
    </row>
    <row r="31" spans="1:12" x14ac:dyDescent="0.25">
      <c r="A31">
        <v>26</v>
      </c>
      <c r="B31" s="335" t="s">
        <v>25</v>
      </c>
      <c r="C31" s="337"/>
      <c r="D31" s="337"/>
      <c r="E31" s="337"/>
      <c r="F31" s="338"/>
      <c r="G31" s="338"/>
      <c r="H31" s="338"/>
      <c r="I31" s="338"/>
      <c r="J31" s="334"/>
      <c r="K31" s="334"/>
      <c r="L31" s="334"/>
    </row>
    <row r="32" spans="1:12" x14ac:dyDescent="0.25">
      <c r="A32">
        <v>27</v>
      </c>
      <c r="B32" s="328" t="s">
        <v>32</v>
      </c>
      <c r="C32" s="329">
        <v>0.9</v>
      </c>
      <c r="D32" s="329">
        <v>0.9</v>
      </c>
      <c r="E32" s="329">
        <v>0.35</v>
      </c>
      <c r="F32" s="330">
        <v>0.14807386814932486</v>
      </c>
      <c r="G32" s="329">
        <v>0.32700000000000001</v>
      </c>
      <c r="H32" s="329">
        <v>0.88989361702127656</v>
      </c>
      <c r="I32" s="329">
        <v>0.35299999999999998</v>
      </c>
      <c r="J32" s="330">
        <v>0.58700000000000008</v>
      </c>
      <c r="K32" s="331" t="s">
        <v>129</v>
      </c>
      <c r="L32" s="331" t="s">
        <v>162</v>
      </c>
    </row>
    <row r="33" spans="1:12" x14ac:dyDescent="0.25">
      <c r="A33">
        <v>28</v>
      </c>
      <c r="B33" s="328" t="s">
        <v>34</v>
      </c>
      <c r="C33" s="329">
        <v>0.9</v>
      </c>
      <c r="D33" s="329">
        <v>0.9</v>
      </c>
      <c r="E33" s="329">
        <v>0.35</v>
      </c>
      <c r="F33" s="330">
        <v>0.13452380952380952</v>
      </c>
      <c r="G33" s="329">
        <v>0.35</v>
      </c>
      <c r="H33" s="329">
        <v>0.9</v>
      </c>
      <c r="I33" s="329">
        <v>0.40799999999999997</v>
      </c>
      <c r="J33" s="330">
        <v>0.7</v>
      </c>
      <c r="K33" s="331" t="s">
        <v>129</v>
      </c>
      <c r="L33" s="331" t="s">
        <v>162</v>
      </c>
    </row>
    <row r="34" spans="1:12" x14ac:dyDescent="0.25">
      <c r="A34">
        <v>29</v>
      </c>
      <c r="B34" s="328" t="s">
        <v>35</v>
      </c>
      <c r="C34" s="329">
        <v>0.9</v>
      </c>
      <c r="D34" s="329">
        <v>0.9</v>
      </c>
      <c r="E34" s="329">
        <v>0.35</v>
      </c>
      <c r="F34" s="330">
        <v>0.14804347826086955</v>
      </c>
      <c r="G34" s="329">
        <v>0.34</v>
      </c>
      <c r="H34" s="329">
        <v>0.85729379686434903</v>
      </c>
      <c r="I34" s="329">
        <v>0.44299999999999995</v>
      </c>
      <c r="J34" s="330">
        <v>0.66304347826086951</v>
      </c>
      <c r="K34" s="331" t="s">
        <v>129</v>
      </c>
      <c r="L34" s="331" t="s">
        <v>162</v>
      </c>
    </row>
    <row r="35" spans="1:12" x14ac:dyDescent="0.25">
      <c r="A35">
        <v>30</v>
      </c>
      <c r="B35" s="328" t="s">
        <v>36</v>
      </c>
      <c r="C35" s="329">
        <v>0.9</v>
      </c>
      <c r="D35" s="329">
        <v>0.9</v>
      </c>
      <c r="E35" s="329">
        <v>0.35</v>
      </c>
      <c r="F35" s="330">
        <v>0.12596660808435853</v>
      </c>
      <c r="G35" s="329">
        <v>0.313</v>
      </c>
      <c r="H35" s="329">
        <v>0.89565217391304353</v>
      </c>
      <c r="I35" s="329">
        <v>0.35700000000000004</v>
      </c>
      <c r="J35" s="330">
        <v>0.61983471074380159</v>
      </c>
      <c r="K35" s="331" t="s">
        <v>129</v>
      </c>
      <c r="L35" s="331" t="s">
        <v>162</v>
      </c>
    </row>
    <row r="36" spans="1:12" x14ac:dyDescent="0.25">
      <c r="A36">
        <v>31</v>
      </c>
      <c r="B36" s="328" t="s">
        <v>37</v>
      </c>
      <c r="C36" s="329">
        <v>0.9</v>
      </c>
      <c r="D36" s="329">
        <v>0.9</v>
      </c>
      <c r="E36" s="329">
        <v>0.35</v>
      </c>
      <c r="F36" s="330">
        <v>0.13842494714587739</v>
      </c>
      <c r="G36" s="329">
        <v>0.247</v>
      </c>
      <c r="H36" s="329">
        <v>0.8937229437229437</v>
      </c>
      <c r="I36" s="329">
        <v>0.32500000000000001</v>
      </c>
      <c r="J36" s="330">
        <v>0.48799999999999999</v>
      </c>
      <c r="K36" s="331" t="s">
        <v>129</v>
      </c>
      <c r="L36" s="331" t="s">
        <v>162</v>
      </c>
    </row>
    <row r="37" spans="1:12" x14ac:dyDescent="0.25">
      <c r="A37">
        <v>32</v>
      </c>
      <c r="B37" s="328" t="s">
        <v>38</v>
      </c>
      <c r="C37" s="329">
        <v>0.9</v>
      </c>
      <c r="D37" s="329">
        <v>0.9</v>
      </c>
      <c r="E37" s="329">
        <v>0.35</v>
      </c>
      <c r="F37" s="330">
        <v>0.15</v>
      </c>
      <c r="G37" s="329">
        <v>0.28399999999999997</v>
      </c>
      <c r="H37" s="329">
        <v>0.8450338600451468</v>
      </c>
      <c r="I37" s="329">
        <v>0.5</v>
      </c>
      <c r="J37" s="330">
        <v>0.7</v>
      </c>
      <c r="K37" s="331" t="s">
        <v>129</v>
      </c>
      <c r="L37" s="331" t="s">
        <v>162</v>
      </c>
    </row>
    <row r="38" spans="1:12" x14ac:dyDescent="0.25">
      <c r="A38">
        <v>33</v>
      </c>
      <c r="B38" s="328" t="s">
        <v>39</v>
      </c>
      <c r="C38" s="329">
        <v>0.9</v>
      </c>
      <c r="D38" s="329">
        <v>0.9</v>
      </c>
      <c r="E38" s="329">
        <v>0.35</v>
      </c>
      <c r="F38" s="330">
        <v>0.15</v>
      </c>
      <c r="G38" s="329">
        <v>0.28899999999999998</v>
      </c>
      <c r="H38" s="329">
        <v>0.86718027734976877</v>
      </c>
      <c r="I38" s="329">
        <v>0.5</v>
      </c>
      <c r="J38" s="330">
        <v>0.55200000000000005</v>
      </c>
      <c r="K38" s="331" t="s">
        <v>129</v>
      </c>
      <c r="L38" s="331" t="s">
        <v>162</v>
      </c>
    </row>
    <row r="39" spans="1:12" ht="15" customHeight="1" x14ac:dyDescent="0.35">
      <c r="A39">
        <v>34</v>
      </c>
      <c r="B39" s="592" t="s">
        <v>33</v>
      </c>
      <c r="C39" s="339"/>
      <c r="D39" s="339"/>
      <c r="E39" s="339"/>
      <c r="F39" s="340"/>
      <c r="G39" s="340"/>
      <c r="H39" s="340"/>
      <c r="I39" s="340"/>
      <c r="J39" s="339"/>
      <c r="K39" s="341"/>
      <c r="L39" s="341"/>
    </row>
  </sheetData>
  <mergeCells count="1">
    <mergeCell ref="B3:B4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L36"/>
  <sheetViews>
    <sheetView showGridLines="0" zoomScaleNormal="100" workbookViewId="0">
      <selection activeCell="H34" sqref="H34"/>
    </sheetView>
  </sheetViews>
  <sheetFormatPr baseColWidth="10" defaultRowHeight="15" x14ac:dyDescent="0.25"/>
  <cols>
    <col min="1" max="1" width="2.28515625" customWidth="1"/>
    <col min="2" max="2" width="23.5703125" bestFit="1" customWidth="1"/>
    <col min="4" max="5" width="11.7109375" customWidth="1"/>
    <col min="6" max="9" width="12.7109375" customWidth="1"/>
    <col min="10" max="12" width="11.7109375" customWidth="1"/>
  </cols>
  <sheetData>
    <row r="2" spans="2:12" x14ac:dyDescent="0.25">
      <c r="B2" s="111">
        <v>2022</v>
      </c>
      <c r="C2" s="817" t="s">
        <v>108</v>
      </c>
      <c r="D2" s="111" t="s">
        <v>110</v>
      </c>
      <c r="E2" s="111" t="s">
        <v>111</v>
      </c>
      <c r="F2" s="111" t="s">
        <v>112</v>
      </c>
      <c r="G2" s="111" t="s">
        <v>113</v>
      </c>
      <c r="H2" s="111" t="s">
        <v>114</v>
      </c>
      <c r="I2" s="111" t="s">
        <v>115</v>
      </c>
      <c r="J2" s="111" t="s">
        <v>116</v>
      </c>
      <c r="K2" s="111" t="s">
        <v>117</v>
      </c>
      <c r="L2" s="111" t="s">
        <v>118</v>
      </c>
    </row>
    <row r="3" spans="2:12" x14ac:dyDescent="0.25">
      <c r="B3" s="110" t="s">
        <v>107</v>
      </c>
      <c r="C3" s="818"/>
      <c r="D3" s="111" t="s">
        <v>109</v>
      </c>
      <c r="E3" s="111" t="s">
        <v>109</v>
      </c>
      <c r="F3" s="111" t="s">
        <v>109</v>
      </c>
      <c r="G3" s="111" t="s">
        <v>109</v>
      </c>
      <c r="H3" s="111" t="s">
        <v>109</v>
      </c>
      <c r="I3" s="111" t="s">
        <v>109</v>
      </c>
      <c r="J3" s="111" t="s">
        <v>109</v>
      </c>
      <c r="K3" s="111" t="s">
        <v>109</v>
      </c>
      <c r="L3" s="111" t="s">
        <v>109</v>
      </c>
    </row>
    <row r="4" spans="2:12" ht="12.95" customHeight="1" x14ac:dyDescent="0.25">
      <c r="B4" s="71" t="s">
        <v>6</v>
      </c>
      <c r="C4" s="71" t="s">
        <v>7</v>
      </c>
      <c r="D4" s="60">
        <f>'1'!K9</f>
        <v>0.9</v>
      </c>
      <c r="E4" s="60">
        <f>'2'!$AY$2</f>
        <v>0</v>
      </c>
      <c r="F4" s="60">
        <f>'3a'!AW9</f>
        <v>0.35</v>
      </c>
      <c r="G4" s="60">
        <f>'3b'!BP9</f>
        <v>0.15</v>
      </c>
      <c r="H4" s="60">
        <f>'4a'!CL9</f>
        <v>0.25227575085668213</v>
      </c>
      <c r="I4" s="60">
        <f>'4b'!CZ9</f>
        <v>0.8397652943439784</v>
      </c>
      <c r="J4" s="60">
        <f>'5'!DN9</f>
        <v>0.30500413695670936</v>
      </c>
      <c r="K4" s="60">
        <f>'6'!EH9</f>
        <v>0.59449640287769778</v>
      </c>
      <c r="L4" s="60">
        <f>'8'!H9</f>
        <v>0.8</v>
      </c>
    </row>
    <row r="5" spans="2:12" ht="12.95" customHeight="1" x14ac:dyDescent="0.25">
      <c r="B5" s="71" t="s">
        <v>8</v>
      </c>
      <c r="C5" s="71" t="s">
        <v>7</v>
      </c>
      <c r="D5" s="60">
        <f>'1'!K10</f>
        <v>0.9</v>
      </c>
      <c r="E5" s="60">
        <f>'2'!$AY$2</f>
        <v>0</v>
      </c>
      <c r="F5" s="60">
        <f>'3a'!AW10</f>
        <v>0.35</v>
      </c>
      <c r="G5" s="60">
        <f>'3b'!BP10</f>
        <v>0.15</v>
      </c>
      <c r="H5" s="60">
        <f>'4a'!CL10</f>
        <v>0.26281415209434733</v>
      </c>
      <c r="I5" s="60">
        <f>'4b'!CZ10</f>
        <v>0.7023465703971119</v>
      </c>
      <c r="J5" s="60">
        <f>'5'!DN10</f>
        <v>0.29856700253420176</v>
      </c>
      <c r="K5" s="60">
        <f>'6'!EH10</f>
        <v>0.69291338582677164</v>
      </c>
      <c r="L5" s="60">
        <f>'8'!H10</f>
        <v>0.8</v>
      </c>
    </row>
    <row r="6" spans="2:12" ht="12.95" customHeight="1" x14ac:dyDescent="0.25">
      <c r="B6" s="71" t="s">
        <v>9</v>
      </c>
      <c r="C6" s="71" t="s">
        <v>7</v>
      </c>
      <c r="D6" s="60">
        <f>'1'!K11</f>
        <v>0.9</v>
      </c>
      <c r="E6" s="60">
        <f>'2'!$AY$2</f>
        <v>0</v>
      </c>
      <c r="F6" s="60">
        <f>'3a'!AW11</f>
        <v>0.35</v>
      </c>
      <c r="G6" s="60">
        <f>'3b'!BP11</f>
        <v>0.15</v>
      </c>
      <c r="H6" s="60">
        <f>'4a'!CL11</f>
        <v>0.27749535488665922</v>
      </c>
      <c r="I6" s="60">
        <f>'4b'!CZ11</f>
        <v>0.60084388185654003</v>
      </c>
      <c r="J6" s="60">
        <f>'5'!DN11</f>
        <v>0.41101768752047163</v>
      </c>
      <c r="K6" s="60">
        <f>'6'!EH11</f>
        <v>0.60784313725490191</v>
      </c>
      <c r="L6" s="60">
        <f>'8'!H11</f>
        <v>0.8</v>
      </c>
    </row>
    <row r="7" spans="2:12" ht="12.95" customHeight="1" x14ac:dyDescent="0.25">
      <c r="B7" s="71" t="s">
        <v>10</v>
      </c>
      <c r="C7" s="71" t="s">
        <v>7</v>
      </c>
      <c r="D7" s="60">
        <f>'1'!K12</f>
        <v>0.87</v>
      </c>
      <c r="E7" s="60">
        <f>'2'!$AY$2</f>
        <v>0</v>
      </c>
      <c r="F7" s="60">
        <f>'3a'!AW12</f>
        <v>0.35</v>
      </c>
      <c r="G7" s="60">
        <f>'3b'!BP12</f>
        <v>0.15</v>
      </c>
      <c r="H7" s="60">
        <f>'4a'!CL12</f>
        <v>0.27822894168466528</v>
      </c>
      <c r="I7" s="60">
        <f>'4b'!CZ12</f>
        <v>0.85931372549019613</v>
      </c>
      <c r="J7" s="60">
        <f>'5'!DN12</f>
        <v>0.39641573033707866</v>
      </c>
      <c r="K7" s="60">
        <f>'6'!EH12</f>
        <v>0.6</v>
      </c>
      <c r="L7" s="60">
        <f>'8'!H12</f>
        <v>0.8</v>
      </c>
    </row>
    <row r="8" spans="2:12" ht="12.95" customHeight="1" x14ac:dyDescent="0.25">
      <c r="B8" s="71" t="s">
        <v>11</v>
      </c>
      <c r="C8" s="71" t="s">
        <v>7</v>
      </c>
      <c r="D8" s="60">
        <f>'1'!K13</f>
        <v>0.9</v>
      </c>
      <c r="E8" s="60">
        <f>'2'!$AY$2</f>
        <v>0</v>
      </c>
      <c r="F8" s="60">
        <f>'3a'!AW13</f>
        <v>0.35</v>
      </c>
      <c r="G8" s="60">
        <f>'3b'!BP13</f>
        <v>0.15</v>
      </c>
      <c r="H8" s="60">
        <f>'4a'!CL13</f>
        <v>0.3326488706365503</v>
      </c>
      <c r="I8" s="60">
        <f>'4b'!CZ13</f>
        <v>0.83059231253938248</v>
      </c>
      <c r="J8" s="60">
        <f>'5'!DN13</f>
        <v>0.52506899724011036</v>
      </c>
      <c r="K8" s="60">
        <f>'6'!EH13</f>
        <v>0.60126582278481011</v>
      </c>
      <c r="L8" s="60">
        <f>'8'!H13</f>
        <v>0.8</v>
      </c>
    </row>
    <row r="9" spans="2:12" ht="12.95" customHeight="1" x14ac:dyDescent="0.25">
      <c r="B9" s="71" t="s">
        <v>12</v>
      </c>
      <c r="C9" s="71" t="s">
        <v>7</v>
      </c>
      <c r="D9" s="60">
        <f>'1'!K14</f>
        <v>0.70076923076923081</v>
      </c>
      <c r="E9" s="60">
        <f>'2'!$AY$2</f>
        <v>0</v>
      </c>
      <c r="F9" s="60">
        <f>'3a'!AW14</f>
        <v>0.35</v>
      </c>
      <c r="G9" s="60">
        <f>'3b'!BP14</f>
        <v>0.15</v>
      </c>
      <c r="H9" s="60">
        <f>'4a'!CL14</f>
        <v>0.25348684210526318</v>
      </c>
      <c r="I9" s="60">
        <f>'4b'!CZ14</f>
        <v>0.86417497231450713</v>
      </c>
      <c r="J9" s="60">
        <f>'5'!DN14</f>
        <v>0.36311985018726589</v>
      </c>
      <c r="K9" s="60">
        <f>'6'!EH14</f>
        <v>0.59306122448979592</v>
      </c>
      <c r="L9" s="60">
        <f>'8'!H14</f>
        <v>0.8</v>
      </c>
    </row>
    <row r="10" spans="2:12" ht="12.95" customHeight="1" x14ac:dyDescent="0.25">
      <c r="B10" s="71" t="s">
        <v>13</v>
      </c>
      <c r="C10" s="71" t="s">
        <v>7</v>
      </c>
      <c r="D10" s="60">
        <f>'1'!K15</f>
        <v>0.9</v>
      </c>
      <c r="E10" s="60">
        <f>'2'!$AY$2</f>
        <v>0</v>
      </c>
      <c r="F10" s="60">
        <f>'3a'!AW15</f>
        <v>0.3310402684563758</v>
      </c>
      <c r="G10" s="60">
        <f>'3b'!BP15</f>
        <v>0.10398550724637681</v>
      </c>
      <c r="H10" s="60">
        <f>'4a'!CL15</f>
        <v>0.28403437358661238</v>
      </c>
      <c r="I10" s="60">
        <f>'4b'!CZ15</f>
        <v>0.88591455273698272</v>
      </c>
      <c r="J10" s="60">
        <f>'5'!DN15</f>
        <v>0.33800340886304392</v>
      </c>
      <c r="K10" s="60">
        <f>'6'!EH15</f>
        <v>0.66883116883116878</v>
      </c>
      <c r="L10" s="60">
        <f>'8'!H15</f>
        <v>0.8</v>
      </c>
    </row>
    <row r="11" spans="2:12" ht="12.95" customHeight="1" x14ac:dyDescent="0.25">
      <c r="B11" s="71" t="s">
        <v>14</v>
      </c>
      <c r="C11" s="71" t="s">
        <v>7</v>
      </c>
      <c r="D11" s="60">
        <f>'1'!K16</f>
        <v>0.62</v>
      </c>
      <c r="E11" s="60">
        <f>'2'!$AY$2</f>
        <v>0</v>
      </c>
      <c r="F11" s="60">
        <f>'3a'!AW16</f>
        <v>0.35</v>
      </c>
      <c r="G11" s="60">
        <f>'3b'!BP16</f>
        <v>0.15</v>
      </c>
      <c r="H11" s="60">
        <f>'4a'!CL16</f>
        <v>0.27384484228473999</v>
      </c>
      <c r="I11" s="60">
        <f>'4b'!CZ16</f>
        <v>0.88886743886743891</v>
      </c>
      <c r="J11" s="60">
        <f>'5'!DN16</f>
        <v>0.36606240487062403</v>
      </c>
      <c r="K11" s="60">
        <f>'6'!EH16</f>
        <v>0.5597368421052632</v>
      </c>
      <c r="L11" s="60">
        <f>'8'!H16</f>
        <v>0.8</v>
      </c>
    </row>
    <row r="12" spans="2:12" ht="12.95" customHeight="1" x14ac:dyDescent="0.25">
      <c r="B12" s="71" t="s">
        <v>15</v>
      </c>
      <c r="C12" s="71" t="s">
        <v>7</v>
      </c>
      <c r="D12" s="60">
        <f>'1'!K17</f>
        <v>0.27</v>
      </c>
      <c r="E12" s="60">
        <f>'2'!$AY$2</f>
        <v>0</v>
      </c>
      <c r="F12" s="60">
        <f>'3a'!AW17</f>
        <v>0.35</v>
      </c>
      <c r="G12" s="60">
        <f>'3b'!BP17</f>
        <v>0.15</v>
      </c>
      <c r="H12" s="60">
        <f>'4a'!CL17</f>
        <v>0.25122047244094492</v>
      </c>
      <c r="I12" s="60">
        <f>'4b'!CZ17</f>
        <v>0.89942196531791907</v>
      </c>
      <c r="J12" s="60">
        <f>'5'!DN17</f>
        <v>0.46678476527900797</v>
      </c>
      <c r="K12" s="60">
        <f>'6'!EH17</f>
        <v>0.6</v>
      </c>
      <c r="L12" s="60">
        <f>'8'!H17</f>
        <v>0.8</v>
      </c>
    </row>
    <row r="13" spans="2:12" ht="12.95" customHeight="1" x14ac:dyDescent="0.25">
      <c r="B13" s="71" t="s">
        <v>16</v>
      </c>
      <c r="C13" s="71" t="s">
        <v>7</v>
      </c>
      <c r="D13" s="60">
        <f>'1'!K18</f>
        <v>0.79500000000000004</v>
      </c>
      <c r="E13" s="60">
        <f>'2'!$AY$2</f>
        <v>0</v>
      </c>
      <c r="F13" s="60">
        <f>'3a'!AW18</f>
        <v>0.35</v>
      </c>
      <c r="G13" s="60">
        <f>'3b'!BP18</f>
        <v>0.15</v>
      </c>
      <c r="H13" s="60">
        <f>'4a'!CL18</f>
        <v>0.29879275653923543</v>
      </c>
      <c r="I13" s="60">
        <f>'4b'!CZ18</f>
        <v>0.85498034076015728</v>
      </c>
      <c r="J13" s="60">
        <f>'5'!DN18</f>
        <v>0.61814159292035398</v>
      </c>
      <c r="K13" s="60">
        <f>'6'!EH18</f>
        <v>0.80952380952380953</v>
      </c>
      <c r="L13" s="60">
        <f>'8'!H18</f>
        <v>0.8</v>
      </c>
    </row>
    <row r="14" spans="2:12" ht="12.95" customHeight="1" x14ac:dyDescent="0.25">
      <c r="B14" s="71" t="s">
        <v>17</v>
      </c>
      <c r="C14" s="71" t="s">
        <v>7</v>
      </c>
      <c r="D14" s="60">
        <f>'1'!K19</f>
        <v>0.75461538461538458</v>
      </c>
      <c r="E14" s="60">
        <f>'2'!$AY$2</f>
        <v>0</v>
      </c>
      <c r="F14" s="60">
        <f>'3a'!AW19</f>
        <v>0.35</v>
      </c>
      <c r="G14" s="60">
        <f>'3b'!BP19</f>
        <v>0.15</v>
      </c>
      <c r="H14" s="60">
        <f>'4a'!CL19</f>
        <v>0.29319371727748689</v>
      </c>
      <c r="I14" s="60">
        <f>'4b'!CZ19</f>
        <v>0.80864093959731542</v>
      </c>
      <c r="J14" s="60">
        <f>'5'!DN19</f>
        <v>0.45551090700344432</v>
      </c>
      <c r="K14" s="60">
        <f>'6'!EH19</f>
        <v>0.49223214285714284</v>
      </c>
      <c r="L14" s="60">
        <f>'8'!H19</f>
        <v>0.8</v>
      </c>
    </row>
    <row r="15" spans="2:12" ht="12.95" customHeight="1" x14ac:dyDescent="0.25">
      <c r="B15" s="71" t="s">
        <v>18</v>
      </c>
      <c r="C15" s="71" t="s">
        <v>7</v>
      </c>
      <c r="D15" s="60">
        <f>'1'!K20</f>
        <v>0.52454545454545454</v>
      </c>
      <c r="E15" s="60">
        <f>'2'!$AY$2</f>
        <v>0</v>
      </c>
      <c r="F15" s="60">
        <f>'3a'!AW20</f>
        <v>0.35</v>
      </c>
      <c r="G15" s="60">
        <f>'3b'!BP20</f>
        <v>0.15</v>
      </c>
      <c r="H15" s="60">
        <f>'4a'!CL20</f>
        <v>0.30366249420491426</v>
      </c>
      <c r="I15" s="60">
        <f>'4b'!CZ20</f>
        <v>0.82049433573635433</v>
      </c>
      <c r="J15" s="60">
        <f>'5'!DN20</f>
        <v>0.42168095430651031</v>
      </c>
      <c r="K15" s="60">
        <f>'6'!EH20</f>
        <v>0.49263157894736842</v>
      </c>
      <c r="L15" s="60">
        <f>'8'!H20</f>
        <v>0.8</v>
      </c>
    </row>
    <row r="16" spans="2:12" ht="12.95" customHeight="1" x14ac:dyDescent="0.25">
      <c r="B16" s="71" t="s">
        <v>19</v>
      </c>
      <c r="C16" s="71" t="s">
        <v>7</v>
      </c>
      <c r="D16" s="60">
        <f>'1'!K21</f>
        <v>0.9</v>
      </c>
      <c r="E16" s="60">
        <f>'2'!$AY$2</f>
        <v>0</v>
      </c>
      <c r="F16" s="60">
        <f>'3a'!AW21</f>
        <v>0.35</v>
      </c>
      <c r="G16" s="60">
        <f>'3b'!BP21</f>
        <v>0.15</v>
      </c>
      <c r="H16" s="60">
        <f>'4a'!CL21</f>
        <v>0.25272545090180365</v>
      </c>
      <c r="I16" s="60">
        <f>'4b'!CZ21</f>
        <v>0.97985781990521326</v>
      </c>
      <c r="J16" s="60">
        <f>'5'!DN21</f>
        <v>0.51505892623308602</v>
      </c>
      <c r="K16" s="60">
        <f>'6'!EH21</f>
        <v>0.71052631578947367</v>
      </c>
      <c r="L16" s="60">
        <f>'8'!H21</f>
        <v>0.8</v>
      </c>
    </row>
    <row r="17" spans="2:12" ht="12.95" customHeight="1" x14ac:dyDescent="0.25">
      <c r="B17" s="71" t="s">
        <v>20</v>
      </c>
      <c r="C17" s="71" t="s">
        <v>7</v>
      </c>
      <c r="D17" s="60">
        <f>'1'!K22</f>
        <v>0.9</v>
      </c>
      <c r="E17" s="60">
        <f>'2'!$AY$2</f>
        <v>0</v>
      </c>
      <c r="F17" s="60">
        <f>'3a'!AW22</f>
        <v>0.35</v>
      </c>
      <c r="G17" s="60">
        <f>'3b'!BP22</f>
        <v>0.15</v>
      </c>
      <c r="H17" s="60">
        <f>'4a'!CL22</f>
        <v>0.28804347826086957</v>
      </c>
      <c r="I17" s="60">
        <f>'4b'!CZ22</f>
        <v>0.85986717267552182</v>
      </c>
      <c r="J17" s="60">
        <f>'5'!DN22</f>
        <v>0.53048297703879654</v>
      </c>
      <c r="K17" s="60">
        <f>'6'!EH22</f>
        <v>0.68965517241379315</v>
      </c>
      <c r="L17" s="60">
        <f>'8'!H22</f>
        <v>0.8</v>
      </c>
    </row>
    <row r="18" spans="2:12" ht="12.95" customHeight="1" x14ac:dyDescent="0.25">
      <c r="B18" s="71" t="s">
        <v>21</v>
      </c>
      <c r="C18" s="71" t="s">
        <v>7</v>
      </c>
      <c r="D18" s="60">
        <f>'1'!K23</f>
        <v>0.69</v>
      </c>
      <c r="E18" s="60">
        <f>'2'!$AY$2</f>
        <v>0</v>
      </c>
      <c r="F18" s="60">
        <f>'3a'!AW23</f>
        <v>0.35</v>
      </c>
      <c r="G18" s="60">
        <f>'3b'!BP23</f>
        <v>0.14430693069306932</v>
      </c>
      <c r="H18" s="60">
        <f>'4a'!CL23</f>
        <v>0.33194154488517746</v>
      </c>
      <c r="I18" s="60">
        <f>'4b'!CZ23</f>
        <v>0.88294117647058823</v>
      </c>
      <c r="J18" s="60">
        <f>'5'!DN23</f>
        <v>0.4889502762430939</v>
      </c>
      <c r="K18" s="60">
        <f>'6'!EH23</f>
        <v>0.72972972972972971</v>
      </c>
      <c r="L18" s="60">
        <f>'8'!H23</f>
        <v>0.8</v>
      </c>
    </row>
    <row r="19" spans="2:12" ht="12.95" customHeight="1" x14ac:dyDescent="0.25">
      <c r="B19" s="71" t="s">
        <v>22</v>
      </c>
      <c r="C19" s="71" t="s">
        <v>7</v>
      </c>
      <c r="D19" s="60">
        <f>'1'!K24</f>
        <v>0.62</v>
      </c>
      <c r="E19" s="60">
        <f>'2'!$AY$2</f>
        <v>0</v>
      </c>
      <c r="F19" s="60">
        <f>'3a'!AW24</f>
        <v>0.35</v>
      </c>
      <c r="G19" s="60">
        <f>'3b'!BP24</f>
        <v>0.13247126436781609</v>
      </c>
      <c r="H19" s="60">
        <f>'4a'!CL24</f>
        <v>0.23008379888268157</v>
      </c>
      <c r="I19" s="60">
        <f>'4b'!CZ24</f>
        <v>0.89299287410926365</v>
      </c>
      <c r="J19" s="60">
        <f>'5'!DN24</f>
        <v>0.40603030303030302</v>
      </c>
      <c r="K19" s="60">
        <f>'6'!EH24</f>
        <v>0.56812499999999999</v>
      </c>
      <c r="L19" s="60">
        <f>'8'!H24</f>
        <v>0.8</v>
      </c>
    </row>
    <row r="20" spans="2:12" ht="12.95" customHeight="1" x14ac:dyDescent="0.25">
      <c r="B20" s="71" t="s">
        <v>23</v>
      </c>
      <c r="C20" s="71" t="s">
        <v>7</v>
      </c>
      <c r="D20" s="60">
        <f>'1'!K25</f>
        <v>0.9</v>
      </c>
      <c r="E20" s="60">
        <f>'2'!$AY$2</f>
        <v>0</v>
      </c>
      <c r="F20" s="60">
        <f>'3a'!AW25</f>
        <v>0.35</v>
      </c>
      <c r="G20" s="60">
        <f>'3b'!BP25</f>
        <v>0.15</v>
      </c>
      <c r="H20" s="60">
        <f>'4a'!CL25</f>
        <v>0.2705825242718447</v>
      </c>
      <c r="I20" s="60">
        <f>'4b'!CZ25</f>
        <v>0.91527446300715987</v>
      </c>
      <c r="J20" s="60">
        <f>'5'!DN25</f>
        <v>0.44435004248088361</v>
      </c>
      <c r="K20" s="60">
        <f>'6'!EH25</f>
        <v>0.57850574712643676</v>
      </c>
      <c r="L20" s="60">
        <f>'8'!H25</f>
        <v>0.8</v>
      </c>
    </row>
    <row r="21" spans="2:12" ht="12.95" customHeight="1" x14ac:dyDescent="0.25">
      <c r="B21" s="93"/>
      <c r="C21" s="73" t="s">
        <v>7</v>
      </c>
      <c r="D21" s="112"/>
      <c r="E21" s="112"/>
      <c r="F21" s="112"/>
      <c r="G21" s="112"/>
      <c r="H21" s="112"/>
      <c r="I21" s="112"/>
      <c r="J21" s="112"/>
      <c r="K21" s="112"/>
      <c r="L21" s="112"/>
    </row>
    <row r="22" spans="2:12" ht="12.95" customHeight="1" x14ac:dyDescent="0.25">
      <c r="B22" s="71" t="s">
        <v>24</v>
      </c>
      <c r="C22" s="71" t="s">
        <v>25</v>
      </c>
      <c r="D22" s="60">
        <f>'1'!K27</f>
        <v>0.79500000000000004</v>
      </c>
      <c r="E22" s="60">
        <f>'2'!$AY$2</f>
        <v>0</v>
      </c>
      <c r="F22" s="60">
        <f>'3a'!AW27</f>
        <v>0.35</v>
      </c>
      <c r="G22" s="60">
        <f>'3b'!BP27</f>
        <v>0.15</v>
      </c>
      <c r="H22" s="60">
        <f>'4a'!CL27</f>
        <v>0.33565459610027853</v>
      </c>
      <c r="I22" s="60">
        <f>'4b'!CZ27</f>
        <v>0.9355509355509356</v>
      </c>
      <c r="J22" s="60">
        <f>'5'!DN27</f>
        <v>0.52994555353901995</v>
      </c>
      <c r="K22" s="60">
        <f>'6'!EH27</f>
        <v>0.8571428571428571</v>
      </c>
      <c r="L22" s="60">
        <f>'8'!H27</f>
        <v>0.8</v>
      </c>
    </row>
    <row r="23" spans="2:12" ht="12.95" customHeight="1" x14ac:dyDescent="0.25">
      <c r="B23" s="71" t="s">
        <v>26</v>
      </c>
      <c r="C23" s="71" t="s">
        <v>25</v>
      </c>
      <c r="D23" s="60">
        <f>'1'!K28</f>
        <v>0.44500000000000001</v>
      </c>
      <c r="E23" s="60">
        <f>'2'!$AY$2</f>
        <v>0</v>
      </c>
      <c r="F23" s="60">
        <f>'3a'!AW28</f>
        <v>0.35</v>
      </c>
      <c r="G23" s="60">
        <f>'3b'!BP28</f>
        <v>0.15</v>
      </c>
      <c r="H23" s="60">
        <f>'4a'!CL28</f>
        <v>0.36315789473684212</v>
      </c>
      <c r="I23" s="60">
        <f>'4b'!CZ28</f>
        <v>0.81577181208053695</v>
      </c>
      <c r="J23" s="60">
        <f>'5'!DN28</f>
        <v>0.46849942726231386</v>
      </c>
      <c r="K23" s="60">
        <f>'6'!EH28</f>
        <v>0.6</v>
      </c>
      <c r="L23" s="60">
        <f>'8'!H28</f>
        <v>0.8</v>
      </c>
    </row>
    <row r="24" spans="2:12" ht="12.95" customHeight="1" x14ac:dyDescent="0.25">
      <c r="B24" s="71" t="s">
        <v>27</v>
      </c>
      <c r="C24" s="71" t="s">
        <v>25</v>
      </c>
      <c r="D24" s="60">
        <f>'1'!K29</f>
        <v>0.9</v>
      </c>
      <c r="E24" s="60">
        <f>'2'!$AY$2</f>
        <v>0</v>
      </c>
      <c r="F24" s="60">
        <f>'3a'!AW29</f>
        <v>0.35</v>
      </c>
      <c r="G24" s="60">
        <f>'3b'!BP29</f>
        <v>0.15</v>
      </c>
      <c r="H24" s="60">
        <f>'4a'!CL29</f>
        <v>0.34899328859060402</v>
      </c>
      <c r="I24" s="60">
        <f>'4b'!CZ29</f>
        <v>0.91511936339522548</v>
      </c>
      <c r="J24" s="60">
        <f>'5'!DN29</f>
        <v>0.55853232382061735</v>
      </c>
      <c r="K24" s="60">
        <f>'6'!EH29</f>
        <v>0.6</v>
      </c>
      <c r="L24" s="60">
        <f>'8'!H29</f>
        <v>0.8</v>
      </c>
    </row>
    <row r="25" spans="2:12" ht="12.95" customHeight="1" x14ac:dyDescent="0.25">
      <c r="B25" s="71" t="s">
        <v>28</v>
      </c>
      <c r="C25" s="71" t="s">
        <v>25</v>
      </c>
      <c r="D25" s="60">
        <f>'1'!K30</f>
        <v>0.9</v>
      </c>
      <c r="E25" s="60">
        <f>'2'!$AY$2</f>
        <v>0</v>
      </c>
      <c r="F25" s="60">
        <f>'3a'!AW30</f>
        <v>0.35</v>
      </c>
      <c r="G25" s="60">
        <f>'3b'!BP30</f>
        <v>0.15</v>
      </c>
      <c r="H25" s="60">
        <f>'4a'!CL30</f>
        <v>0.58211143695014667</v>
      </c>
      <c r="I25" s="60">
        <f>'4b'!CZ30</f>
        <v>0.88314763231197779</v>
      </c>
      <c r="J25" s="60">
        <f>'5'!DN30</f>
        <v>0.5056962025316456</v>
      </c>
      <c r="K25" s="60">
        <f>'6'!EH30</f>
        <v>0.75</v>
      </c>
      <c r="L25" s="60">
        <f>'8'!H30</f>
        <v>0.8</v>
      </c>
    </row>
    <row r="26" spans="2:12" ht="12.95" customHeight="1" x14ac:dyDescent="0.25">
      <c r="B26" s="71" t="s">
        <v>29</v>
      </c>
      <c r="C26" s="71" t="s">
        <v>25</v>
      </c>
      <c r="D26" s="60">
        <f>'1'!K31</f>
        <v>0.9</v>
      </c>
      <c r="E26" s="60">
        <f>'2'!$AY$2</f>
        <v>0</v>
      </c>
      <c r="F26" s="60">
        <f>'3a'!AW31</f>
        <v>0.35</v>
      </c>
      <c r="G26" s="60" t="str">
        <f>'3b'!BP31</f>
        <v>-</v>
      </c>
      <c r="H26" s="60">
        <f>'4a'!CL31</f>
        <v>0.35087719298245612</v>
      </c>
      <c r="I26" s="60">
        <f>'4b'!CZ31</f>
        <v>0.95238095238095233</v>
      </c>
      <c r="J26" s="60">
        <f>'5'!DN31</f>
        <v>0.32373684210526316</v>
      </c>
      <c r="K26" s="60">
        <f>'6'!EH31</f>
        <v>0.6</v>
      </c>
      <c r="L26" s="60">
        <f>'8'!H31</f>
        <v>0.8</v>
      </c>
    </row>
    <row r="27" spans="2:12" ht="12.95" customHeight="1" x14ac:dyDescent="0.25">
      <c r="B27" s="71" t="s">
        <v>30</v>
      </c>
      <c r="C27" s="71" t="s">
        <v>25</v>
      </c>
      <c r="D27" s="60">
        <f>'1'!K32</f>
        <v>0.9</v>
      </c>
      <c r="E27" s="60">
        <f>'2'!$AY$2</f>
        <v>0</v>
      </c>
      <c r="F27" s="60">
        <f>'3a'!AW32</f>
        <v>0.35</v>
      </c>
      <c r="G27" s="60">
        <f>'3b'!BP32</f>
        <v>0.15</v>
      </c>
      <c r="H27" s="60">
        <f>'4a'!CL32</f>
        <v>0.2020998719590269</v>
      </c>
      <c r="I27" s="60">
        <f>'4b'!CZ32</f>
        <v>0.84895470383275262</v>
      </c>
      <c r="J27" s="60">
        <f>'5'!DN32</f>
        <v>0.42516879511382566</v>
      </c>
      <c r="K27" s="60">
        <f>'6'!EH32</f>
        <v>0.91304347826086951</v>
      </c>
      <c r="L27" s="60">
        <f>'8'!H32</f>
        <v>0.8</v>
      </c>
    </row>
    <row r="28" spans="2:12" ht="12.95" customHeight="1" x14ac:dyDescent="0.25">
      <c r="B28" s="71" t="s">
        <v>31</v>
      </c>
      <c r="C28" s="71" t="s">
        <v>25</v>
      </c>
      <c r="D28" s="60">
        <f>'1'!K33</f>
        <v>0.73666666666666669</v>
      </c>
      <c r="E28" s="60">
        <f>'2'!$AY$2</f>
        <v>0</v>
      </c>
      <c r="F28" s="60">
        <f>'3a'!AW33</f>
        <v>0.35</v>
      </c>
      <c r="G28" s="60">
        <f>'3b'!BP33</f>
        <v>0.15</v>
      </c>
      <c r="H28" s="60">
        <f>'4a'!CL33</f>
        <v>0.25218836565096953</v>
      </c>
      <c r="I28" s="60">
        <f>'4b'!CZ33</f>
        <v>0.89025157232704411</v>
      </c>
      <c r="J28" s="60">
        <f>'5'!DN33</f>
        <v>0.43341404358353514</v>
      </c>
      <c r="K28" s="60">
        <f>'6'!EH33</f>
        <v>0.41903225806451611</v>
      </c>
      <c r="L28" s="60">
        <f>'8'!H33</f>
        <v>0.8</v>
      </c>
    </row>
    <row r="29" spans="2:12" ht="12.95" customHeight="1" x14ac:dyDescent="0.25">
      <c r="B29" s="93"/>
      <c r="C29" s="73" t="s">
        <v>25</v>
      </c>
      <c r="D29" s="112"/>
      <c r="E29" s="112"/>
      <c r="F29" s="112"/>
      <c r="G29" s="112"/>
      <c r="H29" s="112"/>
      <c r="I29" s="112"/>
      <c r="J29" s="112"/>
      <c r="K29" s="112"/>
      <c r="L29" s="112"/>
    </row>
    <row r="30" spans="2:12" ht="12.95" customHeight="1" x14ac:dyDescent="0.25">
      <c r="B30" s="71" t="s">
        <v>32</v>
      </c>
      <c r="C30" s="71" t="s">
        <v>33</v>
      </c>
      <c r="D30" s="60">
        <f>'1'!K35</f>
        <v>0.78578947368421048</v>
      </c>
      <c r="E30" s="60">
        <f>'2'!$AY$2</f>
        <v>0</v>
      </c>
      <c r="F30" s="60">
        <f>'3a'!AW35</f>
        <v>0.35</v>
      </c>
      <c r="G30" s="60">
        <f>'3b'!BP35</f>
        <v>0.14807386814932486</v>
      </c>
      <c r="H30" s="60">
        <f>'4a'!CL35</f>
        <v>0.32732486685784512</v>
      </c>
      <c r="I30" s="60">
        <f>'4b'!CZ35</f>
        <v>0.88989361702127656</v>
      </c>
      <c r="J30" s="60">
        <f>'5'!DN35</f>
        <v>0.36610497638939338</v>
      </c>
      <c r="K30" s="60">
        <f>'6'!EH35</f>
        <v>0.58018404907975463</v>
      </c>
      <c r="L30" s="60">
        <f>'8'!H35</f>
        <v>0.8</v>
      </c>
    </row>
    <row r="31" spans="2:12" ht="12.95" customHeight="1" x14ac:dyDescent="0.25">
      <c r="B31" s="71" t="s">
        <v>34</v>
      </c>
      <c r="C31" s="71" t="s">
        <v>33</v>
      </c>
      <c r="D31" s="60">
        <f>'1'!K36</f>
        <v>0.9</v>
      </c>
      <c r="E31" s="60">
        <f>'2'!$AY$2</f>
        <v>0</v>
      </c>
      <c r="F31" s="60">
        <f>'3a'!AW36</f>
        <v>0.35</v>
      </c>
      <c r="G31" s="60">
        <f>'3b'!BP36</f>
        <v>0.13452380952380952</v>
      </c>
      <c r="H31" s="60">
        <f>'4a'!CL36</f>
        <v>0.36080178173719374</v>
      </c>
      <c r="I31" s="60">
        <f>'4b'!CZ36</f>
        <v>0.90462427745664742</v>
      </c>
      <c r="J31" s="60">
        <f>'5'!DN36</f>
        <v>0.41477036310107951</v>
      </c>
      <c r="K31" s="60">
        <f>'6'!EH36</f>
        <v>0.71875</v>
      </c>
      <c r="L31" s="60">
        <f>'8'!H36</f>
        <v>0.8</v>
      </c>
    </row>
    <row r="32" spans="2:12" ht="12.95" customHeight="1" x14ac:dyDescent="0.25">
      <c r="B32" s="71" t="s">
        <v>35</v>
      </c>
      <c r="C32" s="71" t="s">
        <v>33</v>
      </c>
      <c r="D32" s="60">
        <f>'1'!K37</f>
        <v>0.73666666666666669</v>
      </c>
      <c r="E32" s="60">
        <f>'2'!$AY$2</f>
        <v>0</v>
      </c>
      <c r="F32" s="60">
        <f>'3a'!AW37</f>
        <v>0.35</v>
      </c>
      <c r="G32" s="60">
        <f>'3b'!BP37</f>
        <v>0.14804347826086955</v>
      </c>
      <c r="H32" s="60">
        <f>'4a'!CL37</f>
        <v>0.33949349760438058</v>
      </c>
      <c r="I32" s="60">
        <f>'4b'!CZ37</f>
        <v>0.85729379686434903</v>
      </c>
      <c r="J32" s="60">
        <f>'5'!DN37</f>
        <v>0.4431244431244431</v>
      </c>
      <c r="K32" s="60">
        <f>'6'!EH37</f>
        <v>0.66304347826086951</v>
      </c>
      <c r="L32" s="60">
        <f>'8'!H37</f>
        <v>0.8</v>
      </c>
    </row>
    <row r="33" spans="2:12" ht="12.95" customHeight="1" x14ac:dyDescent="0.25">
      <c r="B33" s="71" t="s">
        <v>36</v>
      </c>
      <c r="C33" s="71" t="s">
        <v>33</v>
      </c>
      <c r="D33" s="60">
        <f>'1'!K38</f>
        <v>0.9</v>
      </c>
      <c r="E33" s="60">
        <f>'2'!$AY$2</f>
        <v>0</v>
      </c>
      <c r="F33" s="60">
        <f>'3a'!AW38</f>
        <v>0.35</v>
      </c>
      <c r="G33" s="60">
        <f>'3b'!BP38</f>
        <v>0.12596660808435853</v>
      </c>
      <c r="H33" s="60">
        <f>'4a'!CL38</f>
        <v>0.3132309941520468</v>
      </c>
      <c r="I33" s="60">
        <f>'4b'!CZ38</f>
        <v>0.89565217391304341</v>
      </c>
      <c r="J33" s="60">
        <f>'5'!DN38</f>
        <v>0.36342017346610989</v>
      </c>
      <c r="K33" s="60">
        <f>'6'!EH38</f>
        <v>0.38504132231404958</v>
      </c>
      <c r="L33" s="60">
        <f>'8'!H38</f>
        <v>0.8</v>
      </c>
    </row>
    <row r="34" spans="2:12" ht="12.95" customHeight="1" x14ac:dyDescent="0.25">
      <c r="B34" s="71" t="s">
        <v>37</v>
      </c>
      <c r="C34" s="71" t="s">
        <v>33</v>
      </c>
      <c r="D34" s="60">
        <f>'1'!K39</f>
        <v>0.9</v>
      </c>
      <c r="E34" s="60">
        <f>'2'!$AY$2</f>
        <v>0</v>
      </c>
      <c r="F34" s="60">
        <f>'3a'!AW39</f>
        <v>0.35</v>
      </c>
      <c r="G34" s="60">
        <f>'3b'!BP39</f>
        <v>0.13842494714587739</v>
      </c>
      <c r="H34" s="115">
        <f>'4a'!CL39</f>
        <v>0.26156978459722635</v>
      </c>
      <c r="I34" s="60">
        <f>'4b'!CZ39</f>
        <v>0.8937229437229437</v>
      </c>
      <c r="J34" s="60">
        <f>'5'!DN39</f>
        <v>0.33425500322788892</v>
      </c>
      <c r="K34" s="60">
        <f>'6'!EH39</f>
        <v>0.48797687861271677</v>
      </c>
      <c r="L34" s="60">
        <f>'8'!H39</f>
        <v>0.8</v>
      </c>
    </row>
    <row r="35" spans="2:12" ht="12.95" customHeight="1" x14ac:dyDescent="0.25">
      <c r="B35" s="71" t="s">
        <v>38</v>
      </c>
      <c r="C35" s="71" t="s">
        <v>33</v>
      </c>
      <c r="D35" s="60">
        <f>'1'!K40</f>
        <v>0.9</v>
      </c>
      <c r="E35" s="60">
        <f>'2'!$AY$2</f>
        <v>0</v>
      </c>
      <c r="F35" s="60">
        <f>'3a'!AW40</f>
        <v>0.35</v>
      </c>
      <c r="G35" s="60">
        <f>'3b'!BP40</f>
        <v>0.15</v>
      </c>
      <c r="H35" s="60">
        <f>'4a'!CL40</f>
        <v>0.28350515463917525</v>
      </c>
      <c r="I35" s="60">
        <f>'4b'!CZ40</f>
        <v>0.8450338600451468</v>
      </c>
      <c r="J35" s="60">
        <f>'5'!DN40</f>
        <v>0.611906556141673</v>
      </c>
      <c r="K35" s="60">
        <f>'6'!EH40</f>
        <v>0.9</v>
      </c>
      <c r="L35" s="60">
        <f>'8'!H40</f>
        <v>0.8</v>
      </c>
    </row>
    <row r="36" spans="2:12" ht="12.95" customHeight="1" x14ac:dyDescent="0.25">
      <c r="B36" s="71" t="s">
        <v>39</v>
      </c>
      <c r="C36" s="71" t="s">
        <v>33</v>
      </c>
      <c r="D36" s="60">
        <f>'1'!K41</f>
        <v>0.75461538461538458</v>
      </c>
      <c r="E36" s="60">
        <f>'2'!$AY$2</f>
        <v>0</v>
      </c>
      <c r="F36" s="60">
        <f>'3a'!AW41</f>
        <v>0.35</v>
      </c>
      <c r="G36" s="60">
        <f>'3b'!BP41</f>
        <v>0.15</v>
      </c>
      <c r="H36" s="60">
        <f>'4a'!CL41</f>
        <v>0.28868194842406875</v>
      </c>
      <c r="I36" s="60">
        <f>'4b'!CZ41</f>
        <v>0.86718027734976888</v>
      </c>
      <c r="J36" s="60">
        <f>'5'!DN41</f>
        <v>0.53220232485076968</v>
      </c>
      <c r="K36" s="60">
        <f>'6'!EH41</f>
        <v>0.55074766355140181</v>
      </c>
      <c r="L36" s="60">
        <f>'8'!H41</f>
        <v>0.8</v>
      </c>
    </row>
  </sheetData>
  <mergeCells count="1">
    <mergeCell ref="C2:C3"/>
  </mergeCells>
  <pageMargins left="0.70866141732283472" right="0.70866141732283472" top="0.74803149606299213" bottom="0.74803149606299213" header="0.31496062992125984" footer="0.31496062992125984"/>
  <pageSetup scale="84" orientation="landscape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ER50"/>
  <sheetViews>
    <sheetView topLeftCell="BH12" zoomScale="110" zoomScaleNormal="110" workbookViewId="0">
      <selection activeCell="CL39" sqref="A39:XFD39"/>
    </sheetView>
  </sheetViews>
  <sheetFormatPr baseColWidth="10" defaultColWidth="1.140625" defaultRowHeight="15" outlineLevelCol="1" x14ac:dyDescent="0.25"/>
  <cols>
    <col min="1" max="1" width="2" customWidth="1"/>
    <col min="2" max="2" width="25.42578125" customWidth="1"/>
    <col min="3" max="3" width="10.85546875" customWidth="1"/>
    <col min="4" max="5" width="2.7109375" hidden="1" customWidth="1" outlineLevel="1"/>
    <col min="6" max="6" width="7.140625" hidden="1" customWidth="1" outlineLevel="1"/>
    <col min="7" max="7" width="2.7109375" hidden="1" customWidth="1" outlineLevel="1" collapsed="1"/>
    <col min="8" max="8" width="2.7109375" hidden="1" customWidth="1" outlineLevel="1"/>
    <col min="9" max="9" width="7.140625" hidden="1" customWidth="1" outlineLevel="1"/>
    <col min="10" max="10" width="2.7109375" hidden="1" customWidth="1" outlineLevel="1" collapsed="1"/>
    <col min="11" max="11" width="2.7109375" hidden="1" customWidth="1" outlineLevel="1"/>
    <col min="12" max="12" width="6.85546875" hidden="1" customWidth="1" outlineLevel="1"/>
    <col min="13" max="13" width="2.7109375" hidden="1" customWidth="1" outlineLevel="1"/>
    <col min="14" max="14" width="3.5703125" hidden="1" customWidth="1" outlineLevel="1"/>
    <col min="15" max="15" width="6.85546875" hidden="1" customWidth="1" outlineLevel="1"/>
    <col min="16" max="16" width="8" hidden="1" customWidth="1" outlineLevel="1"/>
    <col min="17" max="17" width="6.5703125" hidden="1" customWidth="1" outlineLevel="1"/>
    <col min="18" max="18" width="6.85546875" hidden="1" customWidth="1" outlineLevel="1"/>
    <col min="19" max="19" width="5.140625" hidden="1" customWidth="1" outlineLevel="1"/>
    <col min="20" max="20" width="12.85546875" customWidth="1" collapsed="1"/>
    <col min="21" max="22" width="6.85546875" customWidth="1"/>
    <col min="23" max="23" width="2.7109375" customWidth="1"/>
    <col min="24" max="24" width="25.85546875" customWidth="1"/>
    <col min="25" max="25" width="16.28515625" customWidth="1"/>
    <col min="26" max="27" width="5.28515625" hidden="1" customWidth="1" outlineLevel="1"/>
    <col min="28" max="28" width="6.85546875" hidden="1" customWidth="1" outlineLevel="1"/>
    <col min="29" max="29" width="9" hidden="1" customWidth="1" outlineLevel="1" collapsed="1"/>
    <col min="30" max="30" width="9" hidden="1" customWidth="1" outlineLevel="1"/>
    <col min="31" max="32" width="6.85546875" hidden="1" customWidth="1" outlineLevel="1"/>
    <col min="33" max="33" width="6.28515625" hidden="1" customWidth="1" outlineLevel="1"/>
    <col min="34" max="34" width="6.85546875" hidden="1" customWidth="1" outlineLevel="1"/>
    <col min="35" max="35" width="5.85546875" hidden="1" customWidth="1" outlineLevel="1"/>
    <col min="36" max="36" width="9" customWidth="1" collapsed="1"/>
    <col min="37" max="37" width="5.85546875" bestFit="1" customWidth="1"/>
    <col min="38" max="38" width="7" bestFit="1" customWidth="1"/>
    <col min="39" max="39" width="1.85546875" customWidth="1"/>
    <col min="40" max="40" width="28.85546875" bestFit="1" customWidth="1"/>
    <col min="41" max="41" width="9.140625" customWidth="1"/>
    <col min="42" max="42" width="4.42578125" customWidth="1" outlineLevel="1"/>
    <col min="43" max="43" width="5.28515625" customWidth="1" outlineLevel="1"/>
    <col min="44" max="44" width="6.85546875" customWidth="1" outlineLevel="1"/>
    <col min="45" max="45" width="4.42578125" customWidth="1" outlineLevel="1"/>
    <col min="46" max="46" width="5.28515625" customWidth="1" outlineLevel="1"/>
    <col min="47" max="47" width="6.85546875" customWidth="1" outlineLevel="1"/>
    <col min="48" max="48" width="5.85546875" customWidth="1" outlineLevel="1"/>
    <col min="49" max="49" width="7" customWidth="1" outlineLevel="1"/>
    <col min="50" max="50" width="8" customWidth="1" outlineLevel="1"/>
    <col min="51" max="51" width="6.85546875" customWidth="1" outlineLevel="1"/>
    <col min="52" max="52" width="4.7109375" customWidth="1" outlineLevel="1"/>
    <col min="53" max="53" width="6.85546875" customWidth="1" outlineLevel="1"/>
    <col min="54" max="54" width="4.7109375" customWidth="1" outlineLevel="1"/>
    <col min="55" max="55" width="9.85546875" customWidth="1"/>
    <col min="56" max="56" width="5.85546875" bestFit="1" customWidth="1"/>
    <col min="57" max="57" width="7" bestFit="1" customWidth="1"/>
    <col min="58" max="58" width="2.42578125" customWidth="1"/>
    <col min="59" max="59" width="23.5703125" customWidth="1"/>
    <col min="60" max="60" width="9" customWidth="1"/>
    <col min="61" max="61" width="3.5703125" hidden="1" customWidth="1" outlineLevel="1"/>
    <col min="62" max="62" width="4.42578125" hidden="1" customWidth="1" outlineLevel="1"/>
    <col min="63" max="63" width="6.85546875" hidden="1" customWidth="1" outlineLevel="1"/>
    <col min="64" max="65" width="3.5703125" hidden="1" customWidth="1" outlineLevel="1"/>
    <col min="66" max="66" width="6.85546875" hidden="1" customWidth="1" outlineLevel="1"/>
    <col min="67" max="67" width="4.7109375" hidden="1" customWidth="1" outlineLevel="1"/>
    <col min="68" max="68" width="5.85546875" hidden="1" customWidth="1" outlineLevel="1"/>
    <col min="69" max="69" width="8" hidden="1" customWidth="1" outlineLevel="1"/>
    <col min="70" max="70" width="6.85546875" hidden="1" customWidth="1" outlineLevel="1"/>
    <col min="71" max="71" width="3.5703125" hidden="1" customWidth="1" outlineLevel="1"/>
    <col min="72" max="72" width="5.7109375" hidden="1" customWidth="1" outlineLevel="1"/>
    <col min="73" max="73" width="3.5703125" hidden="1" customWidth="1" outlineLevel="1"/>
    <col min="74" max="74" width="9" customWidth="1" collapsed="1"/>
    <col min="75" max="76" width="9" customWidth="1"/>
    <col min="77" max="77" width="2.5703125" customWidth="1"/>
    <col min="78" max="78" width="31.7109375" customWidth="1"/>
    <col min="79" max="79" width="9" customWidth="1"/>
    <col min="80" max="80" width="4.42578125" customWidth="1" outlineLevel="1"/>
    <col min="81" max="81" width="5.28515625" customWidth="1" outlineLevel="1"/>
    <col min="82" max="82" width="6.85546875" customWidth="1" outlineLevel="1"/>
    <col min="83" max="83" width="5.85546875" customWidth="1" outlineLevel="1" collapsed="1"/>
    <col min="84" max="84" width="7" customWidth="1" outlineLevel="1"/>
    <col min="85" max="85" width="8.140625" customWidth="1" outlineLevel="1"/>
    <col min="86" max="86" width="8" customWidth="1" outlineLevel="1"/>
    <col min="87" max="87" width="4.7109375" customWidth="1" outlineLevel="1"/>
    <col min="88" max="88" width="5.7109375" customWidth="1" outlineLevel="1"/>
    <col min="89" max="89" width="7.42578125" customWidth="1" outlineLevel="1"/>
    <col min="90" max="90" width="9" customWidth="1"/>
    <col min="91" max="91" width="5.85546875" bestFit="1" customWidth="1"/>
    <col min="92" max="92" width="7" bestFit="1" customWidth="1"/>
    <col min="93" max="93" width="3" customWidth="1"/>
    <col min="94" max="94" width="25" customWidth="1"/>
    <col min="95" max="95" width="11.140625" customWidth="1"/>
    <col min="96" max="96" width="5.85546875" customWidth="1" outlineLevel="1"/>
    <col min="97" max="97" width="7" customWidth="1" outlineLevel="1"/>
    <col min="98" max="98" width="6.85546875" customWidth="1" outlineLevel="1"/>
    <col min="99" max="99" width="5.85546875" customWidth="1" outlineLevel="1"/>
    <col min="100" max="100" width="7" customWidth="1" outlineLevel="1"/>
    <col min="101" max="101" width="8.140625" customWidth="1" outlineLevel="1"/>
    <col min="102" max="103" width="8.42578125" customWidth="1" outlineLevel="1"/>
    <col min="104" max="104" width="8.42578125" customWidth="1"/>
    <col min="105" max="105" width="5.85546875" bestFit="1" customWidth="1"/>
    <col min="106" max="106" width="7" bestFit="1" customWidth="1"/>
    <col min="107" max="107" width="2.42578125" customWidth="1"/>
    <col min="108" max="108" width="24" customWidth="1"/>
    <col min="109" max="109" width="16.28515625" customWidth="1"/>
    <col min="110" max="111" width="5.28515625" hidden="1" customWidth="1" outlineLevel="1"/>
    <col min="112" max="112" width="6.85546875" hidden="1" customWidth="1" outlineLevel="1"/>
    <col min="113" max="114" width="7" hidden="1" customWidth="1" outlineLevel="1"/>
    <col min="115" max="115" width="8.140625" hidden="1" customWidth="1" outlineLevel="1"/>
    <col min="116" max="116" width="6.85546875" hidden="1" customWidth="1" outlineLevel="1"/>
    <col min="117" max="117" width="8.85546875" hidden="1" customWidth="1" outlineLevel="1"/>
    <col min="118" max="118" width="8.85546875" customWidth="1" collapsed="1"/>
    <col min="119" max="119" width="5.85546875" bestFit="1" customWidth="1"/>
    <col min="120" max="120" width="7" bestFit="1" customWidth="1"/>
    <col min="121" max="121" width="1.140625" customWidth="1"/>
    <col min="122" max="122" width="26.140625" customWidth="1"/>
    <col min="123" max="123" width="9.140625" customWidth="1"/>
    <col min="124" max="124" width="3.5703125" hidden="1" customWidth="1" outlineLevel="1"/>
    <col min="125" max="125" width="4.42578125" hidden="1" customWidth="1" outlineLevel="1"/>
    <col min="126" max="126" width="6.85546875" hidden="1" customWidth="1" outlineLevel="1"/>
    <col min="127" max="128" width="3.5703125" hidden="1" customWidth="1" outlineLevel="1"/>
    <col min="129" max="129" width="6.85546875" hidden="1" customWidth="1" outlineLevel="1"/>
    <col min="130" max="130" width="3.5703125" hidden="1" customWidth="1" outlineLevel="1"/>
    <col min="131" max="131" width="4.42578125" hidden="1" customWidth="1" outlineLevel="1"/>
    <col min="132" max="132" width="6.85546875" hidden="1" customWidth="1" outlineLevel="1"/>
    <col min="133" max="133" width="4.7109375" hidden="1" customWidth="1" outlineLevel="1"/>
    <col min="134" max="134" width="5.85546875" hidden="1" customWidth="1" outlineLevel="1"/>
    <col min="135" max="135" width="9.28515625" hidden="1" customWidth="1" outlineLevel="1"/>
    <col min="136" max="136" width="6.85546875" hidden="1" customWidth="1" outlineLevel="1"/>
    <col min="137" max="137" width="9.7109375" hidden="1" customWidth="1" outlineLevel="1"/>
    <col min="138" max="138" width="9.140625" customWidth="1" collapsed="1"/>
    <col min="139" max="140" width="4.7109375" bestFit="1" customWidth="1"/>
    <col min="141" max="141" width="3" customWidth="1"/>
    <col min="142" max="143" width="9.140625" customWidth="1"/>
    <col min="144" max="145" width="12.42578125" customWidth="1"/>
    <col min="146" max="151" width="9.140625" customWidth="1"/>
  </cols>
  <sheetData>
    <row r="1" spans="2:148" ht="6" customHeight="1" x14ac:dyDescent="0.25"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</row>
    <row r="2" spans="2:148" ht="24.75" customHeight="1" x14ac:dyDescent="0.25">
      <c r="B2" s="602" t="s">
        <v>105</v>
      </c>
      <c r="C2" s="823" t="s">
        <v>0</v>
      </c>
      <c r="D2" s="823"/>
      <c r="E2" s="823"/>
      <c r="F2" s="823"/>
      <c r="G2" s="823"/>
      <c r="H2" s="823"/>
      <c r="I2" s="823"/>
      <c r="J2" s="823"/>
      <c r="K2" s="823"/>
      <c r="L2" s="823"/>
      <c r="M2" s="823"/>
      <c r="N2" s="823"/>
      <c r="O2" s="823"/>
      <c r="P2" s="831" t="s">
        <v>3</v>
      </c>
      <c r="Q2" s="832"/>
      <c r="R2" s="833" t="s">
        <v>4</v>
      </c>
      <c r="S2" s="833"/>
      <c r="T2" s="833"/>
      <c r="U2" s="833"/>
      <c r="V2" s="833"/>
      <c r="X2" s="602" t="s">
        <v>98</v>
      </c>
      <c r="Y2" s="833" t="s">
        <v>49</v>
      </c>
      <c r="Z2" s="833"/>
      <c r="AA2" s="833"/>
      <c r="AB2" s="833"/>
      <c r="AC2" s="833"/>
      <c r="AD2" s="833"/>
      <c r="AE2" s="833"/>
      <c r="AF2" s="833"/>
      <c r="AG2" s="77" t="s">
        <v>3</v>
      </c>
      <c r="AH2" s="833" t="s">
        <v>4</v>
      </c>
      <c r="AI2" s="833"/>
      <c r="AJ2" s="833"/>
      <c r="AK2" s="833"/>
      <c r="AL2" s="833"/>
      <c r="AN2" s="602" t="s">
        <v>99</v>
      </c>
      <c r="AO2" s="823" t="s">
        <v>52</v>
      </c>
      <c r="AP2" s="823"/>
      <c r="AQ2" s="823"/>
      <c r="AR2" s="823"/>
      <c r="AS2" s="823"/>
      <c r="AT2" s="823"/>
      <c r="AU2" s="823"/>
      <c r="AV2" s="823"/>
      <c r="AW2" s="823"/>
      <c r="AX2" s="823"/>
      <c r="AY2" s="831" t="s">
        <v>3</v>
      </c>
      <c r="AZ2" s="832"/>
      <c r="BA2" s="833" t="s">
        <v>4</v>
      </c>
      <c r="BB2" s="833"/>
      <c r="BC2" s="833"/>
      <c r="BD2" s="833"/>
      <c r="BE2" s="833"/>
      <c r="BG2" s="602" t="s">
        <v>100</v>
      </c>
      <c r="BH2" s="823" t="s">
        <v>56</v>
      </c>
      <c r="BI2" s="823"/>
      <c r="BJ2" s="823"/>
      <c r="BK2" s="823"/>
      <c r="BL2" s="823"/>
      <c r="BM2" s="823"/>
      <c r="BN2" s="823"/>
      <c r="BO2" s="823"/>
      <c r="BP2" s="823"/>
      <c r="BQ2" s="823"/>
      <c r="BR2" s="831" t="s">
        <v>3</v>
      </c>
      <c r="BS2" s="832"/>
      <c r="BT2" s="833" t="s">
        <v>4</v>
      </c>
      <c r="BU2" s="833"/>
      <c r="BV2" s="833"/>
      <c r="BW2" s="833"/>
      <c r="BX2" s="833"/>
      <c r="BZ2" s="609" t="s">
        <v>101</v>
      </c>
      <c r="CA2" s="823" t="s">
        <v>59</v>
      </c>
      <c r="CB2" s="823"/>
      <c r="CC2" s="823"/>
      <c r="CD2" s="823"/>
      <c r="CE2" s="823"/>
      <c r="CF2" s="823"/>
      <c r="CG2" s="823"/>
      <c r="CH2" s="831" t="s">
        <v>3</v>
      </c>
      <c r="CI2" s="832"/>
      <c r="CJ2" s="833" t="s">
        <v>4</v>
      </c>
      <c r="CK2" s="833"/>
      <c r="CL2" s="833"/>
      <c r="CM2" s="833"/>
      <c r="CN2" s="833"/>
      <c r="CP2" s="602" t="s">
        <v>102</v>
      </c>
      <c r="CQ2" s="823" t="s">
        <v>63</v>
      </c>
      <c r="CR2" s="823"/>
      <c r="CS2" s="823"/>
      <c r="CT2" s="823"/>
      <c r="CU2" s="823"/>
      <c r="CV2" s="823"/>
      <c r="CW2" s="823"/>
      <c r="CX2" s="77" t="s">
        <v>3</v>
      </c>
      <c r="CY2" s="833" t="s">
        <v>4</v>
      </c>
      <c r="CZ2" s="833"/>
      <c r="DA2" s="833"/>
      <c r="DB2" s="833"/>
      <c r="DD2" s="609" t="s">
        <v>103</v>
      </c>
      <c r="DE2" s="823" t="s">
        <v>66</v>
      </c>
      <c r="DF2" s="823"/>
      <c r="DG2" s="823"/>
      <c r="DH2" s="823"/>
      <c r="DI2" s="823"/>
      <c r="DJ2" s="823"/>
      <c r="DK2" s="823"/>
      <c r="DL2" s="77" t="s">
        <v>3</v>
      </c>
      <c r="DM2" s="833" t="s">
        <v>4</v>
      </c>
      <c r="DN2" s="833"/>
      <c r="DO2" s="833"/>
      <c r="DP2" s="833"/>
      <c r="DR2" s="839" t="s">
        <v>104</v>
      </c>
      <c r="DS2" s="823" t="s">
        <v>68</v>
      </c>
      <c r="DT2" s="823"/>
      <c r="DU2" s="823"/>
      <c r="DV2" s="823"/>
      <c r="DW2" s="823"/>
      <c r="DX2" s="823"/>
      <c r="DY2" s="823"/>
      <c r="DZ2" s="823"/>
      <c r="EA2" s="823"/>
      <c r="EB2" s="823"/>
      <c r="EC2" s="823"/>
      <c r="ED2" s="823"/>
      <c r="EE2" s="823"/>
      <c r="EF2" s="77" t="s">
        <v>3</v>
      </c>
      <c r="EG2" s="833" t="s">
        <v>4</v>
      </c>
      <c r="EH2" s="833"/>
      <c r="EI2" s="833"/>
      <c r="EJ2" s="833"/>
      <c r="EL2" s="602" t="s">
        <v>75</v>
      </c>
      <c r="EM2" s="843" t="s">
        <v>76</v>
      </c>
      <c r="EN2" s="844"/>
      <c r="EO2" s="844"/>
      <c r="EP2" s="77" t="s">
        <v>3</v>
      </c>
      <c r="EQ2" s="837" t="s">
        <v>4</v>
      </c>
      <c r="ER2" s="838"/>
    </row>
    <row r="3" spans="2:148" ht="38.25" customHeight="1" x14ac:dyDescent="0.25">
      <c r="B3" s="834"/>
      <c r="C3" s="823"/>
      <c r="D3" s="823"/>
      <c r="E3" s="823"/>
      <c r="F3" s="823"/>
      <c r="G3" s="823"/>
      <c r="H3" s="823"/>
      <c r="I3" s="823"/>
      <c r="J3" s="823"/>
      <c r="K3" s="823"/>
      <c r="L3" s="823"/>
      <c r="M3" s="823"/>
      <c r="N3" s="823"/>
      <c r="O3" s="823"/>
      <c r="P3" s="835">
        <v>0.9</v>
      </c>
      <c r="Q3" s="836"/>
      <c r="R3" s="833" t="s">
        <v>5</v>
      </c>
      <c r="S3" s="833"/>
      <c r="T3" s="833"/>
      <c r="U3" s="833"/>
      <c r="V3" s="833"/>
      <c r="X3" s="603"/>
      <c r="Y3" s="833"/>
      <c r="Z3" s="833"/>
      <c r="AA3" s="833"/>
      <c r="AB3" s="833"/>
      <c r="AC3" s="833"/>
      <c r="AD3" s="833"/>
      <c r="AE3" s="833"/>
      <c r="AF3" s="833"/>
      <c r="AG3" s="81">
        <v>0.8</v>
      </c>
      <c r="AH3" s="837" t="s">
        <v>48</v>
      </c>
      <c r="AI3" s="838"/>
      <c r="AJ3" s="838"/>
      <c r="AK3" s="838"/>
      <c r="AL3" s="838"/>
      <c r="AN3" s="603"/>
      <c r="AO3" s="823"/>
      <c r="AP3" s="823"/>
      <c r="AQ3" s="823"/>
      <c r="AR3" s="823"/>
      <c r="AS3" s="823"/>
      <c r="AT3" s="823"/>
      <c r="AU3" s="823"/>
      <c r="AV3" s="823"/>
      <c r="AW3" s="823"/>
      <c r="AX3" s="823"/>
      <c r="AY3" s="829">
        <v>0.35</v>
      </c>
      <c r="AZ3" s="830"/>
      <c r="BA3" s="823" t="s">
        <v>55</v>
      </c>
      <c r="BB3" s="823"/>
      <c r="BC3" s="823"/>
      <c r="BD3" s="823"/>
      <c r="BE3" s="823"/>
      <c r="BG3" s="603"/>
      <c r="BH3" s="823"/>
      <c r="BI3" s="823"/>
      <c r="BJ3" s="823"/>
      <c r="BK3" s="823"/>
      <c r="BL3" s="823"/>
      <c r="BM3" s="823"/>
      <c r="BN3" s="823"/>
      <c r="BO3" s="823"/>
      <c r="BP3" s="823"/>
      <c r="BQ3" s="823"/>
      <c r="BR3" s="829">
        <v>0.11</v>
      </c>
      <c r="BS3" s="830"/>
      <c r="BT3" s="823" t="s">
        <v>55</v>
      </c>
      <c r="BU3" s="823"/>
      <c r="BV3" s="823"/>
      <c r="BW3" s="823"/>
      <c r="BX3" s="823"/>
      <c r="BZ3" s="609"/>
      <c r="CA3" s="823"/>
      <c r="CB3" s="823"/>
      <c r="CC3" s="823"/>
      <c r="CD3" s="823"/>
      <c r="CE3" s="823"/>
      <c r="CF3" s="823"/>
      <c r="CG3" s="823"/>
      <c r="CH3" s="829">
        <v>0.28000000000000003</v>
      </c>
      <c r="CI3" s="830"/>
      <c r="CJ3" s="833" t="s">
        <v>5</v>
      </c>
      <c r="CK3" s="833"/>
      <c r="CL3" s="833"/>
      <c r="CM3" s="833"/>
      <c r="CN3" s="833"/>
      <c r="CP3" s="603"/>
      <c r="CQ3" s="823"/>
      <c r="CR3" s="823"/>
      <c r="CS3" s="823"/>
      <c r="CT3" s="823"/>
      <c r="CU3" s="823"/>
      <c r="CV3" s="823"/>
      <c r="CW3" s="823"/>
      <c r="CX3" s="81">
        <v>0.9</v>
      </c>
      <c r="CY3" s="833" t="s">
        <v>55</v>
      </c>
      <c r="CZ3" s="833"/>
      <c r="DA3" s="833"/>
      <c r="DB3" s="833"/>
      <c r="DD3" s="609"/>
      <c r="DE3" s="823"/>
      <c r="DF3" s="823"/>
      <c r="DG3" s="823"/>
      <c r="DH3" s="823"/>
      <c r="DI3" s="823"/>
      <c r="DJ3" s="823"/>
      <c r="DK3" s="823"/>
      <c r="DL3" s="81">
        <v>0.43</v>
      </c>
      <c r="DM3" s="833" t="s">
        <v>5</v>
      </c>
      <c r="DN3" s="833"/>
      <c r="DO3" s="833"/>
      <c r="DP3" s="833"/>
      <c r="DR3" s="840"/>
      <c r="DS3" s="823"/>
      <c r="DT3" s="823"/>
      <c r="DU3" s="823"/>
      <c r="DV3" s="823"/>
      <c r="DW3" s="823"/>
      <c r="DX3" s="823"/>
      <c r="DY3" s="823"/>
      <c r="DZ3" s="823"/>
      <c r="EA3" s="823"/>
      <c r="EB3" s="823"/>
      <c r="EC3" s="823"/>
      <c r="ED3" s="823"/>
      <c r="EE3" s="823"/>
      <c r="EF3" s="81">
        <v>0.6</v>
      </c>
      <c r="EG3" s="823" t="s">
        <v>69</v>
      </c>
      <c r="EH3" s="823"/>
      <c r="EI3" s="823"/>
      <c r="EJ3" s="823"/>
      <c r="EL3" s="603"/>
      <c r="EM3" s="845"/>
      <c r="EN3" s="846"/>
      <c r="EO3" s="846"/>
      <c r="EP3" s="81">
        <v>0.8</v>
      </c>
      <c r="EQ3" s="841" t="s">
        <v>79</v>
      </c>
      <c r="ER3" s="842"/>
    </row>
    <row r="4" spans="2:148" ht="27.75" customHeight="1" x14ac:dyDescent="0.25">
      <c r="B4" s="78" t="s">
        <v>1</v>
      </c>
      <c r="C4" s="823" t="s">
        <v>47</v>
      </c>
      <c r="D4" s="823"/>
      <c r="E4" s="823"/>
      <c r="F4" s="823"/>
      <c r="G4" s="823"/>
      <c r="H4" s="823"/>
      <c r="I4" s="823"/>
      <c r="J4" s="823"/>
      <c r="K4" s="823"/>
      <c r="L4" s="823"/>
      <c r="M4" s="823"/>
      <c r="N4" s="823"/>
      <c r="O4" s="823"/>
      <c r="P4" s="823"/>
      <c r="Q4" s="823"/>
      <c r="R4" s="823"/>
      <c r="S4" s="823"/>
      <c r="T4" s="823"/>
      <c r="U4" s="823"/>
      <c r="V4" s="823"/>
      <c r="X4" s="78" t="s">
        <v>1</v>
      </c>
      <c r="Y4" s="823" t="s">
        <v>50</v>
      </c>
      <c r="Z4" s="823"/>
      <c r="AA4" s="823"/>
      <c r="AB4" s="823"/>
      <c r="AC4" s="823"/>
      <c r="AD4" s="823"/>
      <c r="AE4" s="823"/>
      <c r="AF4" s="823"/>
      <c r="AG4" s="823"/>
      <c r="AH4" s="823"/>
      <c r="AI4" s="823"/>
      <c r="AJ4" s="823"/>
      <c r="AK4" s="823"/>
      <c r="AL4" s="823"/>
      <c r="AN4" s="78" t="s">
        <v>1</v>
      </c>
      <c r="AO4" s="823" t="s">
        <v>53</v>
      </c>
      <c r="AP4" s="823"/>
      <c r="AQ4" s="823"/>
      <c r="AR4" s="823"/>
      <c r="AS4" s="823"/>
      <c r="AT4" s="823"/>
      <c r="AU4" s="823"/>
      <c r="AV4" s="823"/>
      <c r="AW4" s="823"/>
      <c r="AX4" s="823"/>
      <c r="AY4" s="823"/>
      <c r="AZ4" s="823"/>
      <c r="BA4" s="823"/>
      <c r="BB4" s="823"/>
      <c r="BC4" s="823"/>
      <c r="BD4" s="823"/>
      <c r="BE4" s="823"/>
      <c r="BG4" s="78" t="s">
        <v>1</v>
      </c>
      <c r="BH4" s="823" t="s">
        <v>57</v>
      </c>
      <c r="BI4" s="823"/>
      <c r="BJ4" s="823"/>
      <c r="BK4" s="823"/>
      <c r="BL4" s="823"/>
      <c r="BM4" s="823"/>
      <c r="BN4" s="823"/>
      <c r="BO4" s="823"/>
      <c r="BP4" s="823"/>
      <c r="BQ4" s="823"/>
      <c r="BR4" s="823"/>
      <c r="BS4" s="823"/>
      <c r="BT4" s="823"/>
      <c r="BU4" s="823"/>
      <c r="BV4" s="823"/>
      <c r="BW4" s="823"/>
      <c r="BX4" s="823"/>
      <c r="BZ4" s="78" t="s">
        <v>1</v>
      </c>
      <c r="CA4" s="823" t="s">
        <v>60</v>
      </c>
      <c r="CB4" s="823"/>
      <c r="CC4" s="823"/>
      <c r="CD4" s="823"/>
      <c r="CE4" s="823"/>
      <c r="CF4" s="823"/>
      <c r="CG4" s="823"/>
      <c r="CH4" s="823"/>
      <c r="CI4" s="823"/>
      <c r="CJ4" s="823"/>
      <c r="CK4" s="823"/>
      <c r="CL4" s="823"/>
      <c r="CM4" s="823"/>
      <c r="CN4" s="823"/>
      <c r="CP4" s="78" t="s">
        <v>1</v>
      </c>
      <c r="CQ4" s="823" t="s">
        <v>64</v>
      </c>
      <c r="CR4" s="823"/>
      <c r="CS4" s="823"/>
      <c r="CT4" s="823"/>
      <c r="CU4" s="823"/>
      <c r="CV4" s="823"/>
      <c r="CW4" s="823"/>
      <c r="CX4" s="823"/>
      <c r="CY4" s="823"/>
      <c r="CZ4" s="823"/>
      <c r="DA4" s="823"/>
      <c r="DB4" s="823"/>
      <c r="DD4" s="78" t="s">
        <v>1</v>
      </c>
      <c r="DE4" s="823" t="s">
        <v>67</v>
      </c>
      <c r="DF4" s="823"/>
      <c r="DG4" s="823"/>
      <c r="DH4" s="823"/>
      <c r="DI4" s="823"/>
      <c r="DJ4" s="823"/>
      <c r="DK4" s="823"/>
      <c r="DL4" s="823"/>
      <c r="DM4" s="823"/>
      <c r="DN4" s="823"/>
      <c r="DO4" s="823"/>
      <c r="DP4" s="823"/>
      <c r="DR4" s="94" t="s">
        <v>1</v>
      </c>
      <c r="DS4" s="823" t="s">
        <v>70</v>
      </c>
      <c r="DT4" s="823"/>
      <c r="DU4" s="823"/>
      <c r="DV4" s="823"/>
      <c r="DW4" s="823"/>
      <c r="DX4" s="823"/>
      <c r="DY4" s="823"/>
      <c r="DZ4" s="823"/>
      <c r="EA4" s="823"/>
      <c r="EB4" s="823"/>
      <c r="EC4" s="823"/>
      <c r="ED4" s="823"/>
      <c r="EE4" s="823"/>
      <c r="EF4" s="823"/>
      <c r="EG4" s="823"/>
      <c r="EH4" s="823"/>
      <c r="EI4" s="823"/>
      <c r="EJ4" s="823"/>
      <c r="EL4" s="78" t="s">
        <v>1</v>
      </c>
      <c r="EM4" s="841" t="s">
        <v>77</v>
      </c>
      <c r="EN4" s="842"/>
      <c r="EO4" s="842"/>
      <c r="EP4" s="842"/>
      <c r="EQ4" s="842"/>
      <c r="ER4" s="842"/>
    </row>
    <row r="5" spans="2:148" ht="23.25" customHeight="1" x14ac:dyDescent="0.25">
      <c r="B5" s="78" t="s">
        <v>2</v>
      </c>
      <c r="C5" s="823" t="s">
        <v>46</v>
      </c>
      <c r="D5" s="823"/>
      <c r="E5" s="823"/>
      <c r="F5" s="823"/>
      <c r="G5" s="823"/>
      <c r="H5" s="823"/>
      <c r="I5" s="823"/>
      <c r="J5" s="823"/>
      <c r="K5" s="823"/>
      <c r="L5" s="823"/>
      <c r="M5" s="823"/>
      <c r="N5" s="823"/>
      <c r="O5" s="823"/>
      <c r="P5" s="823"/>
      <c r="Q5" s="823"/>
      <c r="R5" s="823"/>
      <c r="S5" s="823"/>
      <c r="T5" s="823"/>
      <c r="U5" s="823"/>
      <c r="V5" s="823"/>
      <c r="X5" s="78" t="s">
        <v>2</v>
      </c>
      <c r="Y5" s="823" t="s">
        <v>51</v>
      </c>
      <c r="Z5" s="823"/>
      <c r="AA5" s="823"/>
      <c r="AB5" s="823"/>
      <c r="AC5" s="823"/>
      <c r="AD5" s="823"/>
      <c r="AE5" s="823"/>
      <c r="AF5" s="823"/>
      <c r="AG5" s="823"/>
      <c r="AH5" s="823"/>
      <c r="AI5" s="823"/>
      <c r="AJ5" s="823"/>
      <c r="AK5" s="823"/>
      <c r="AL5" s="823"/>
      <c r="AN5" s="78" t="s">
        <v>2</v>
      </c>
      <c r="AO5" s="823" t="s">
        <v>54</v>
      </c>
      <c r="AP5" s="823"/>
      <c r="AQ5" s="823"/>
      <c r="AR5" s="823"/>
      <c r="AS5" s="823"/>
      <c r="AT5" s="823"/>
      <c r="AU5" s="823"/>
      <c r="AV5" s="823"/>
      <c r="AW5" s="823"/>
      <c r="AX5" s="823"/>
      <c r="AY5" s="823"/>
      <c r="AZ5" s="823"/>
      <c r="BA5" s="823"/>
      <c r="BB5" s="823"/>
      <c r="BC5" s="823"/>
      <c r="BD5" s="823"/>
      <c r="BE5" s="823"/>
      <c r="BG5" s="78" t="s">
        <v>2</v>
      </c>
      <c r="BH5" s="823" t="s">
        <v>58</v>
      </c>
      <c r="BI5" s="823"/>
      <c r="BJ5" s="823"/>
      <c r="BK5" s="823"/>
      <c r="BL5" s="823"/>
      <c r="BM5" s="823"/>
      <c r="BN5" s="823"/>
      <c r="BO5" s="823"/>
      <c r="BP5" s="823"/>
      <c r="BQ5" s="823"/>
      <c r="BR5" s="823"/>
      <c r="BS5" s="823"/>
      <c r="BT5" s="823"/>
      <c r="BU5" s="823"/>
      <c r="BV5" s="823"/>
      <c r="BW5" s="823"/>
      <c r="BX5" s="823"/>
      <c r="BZ5" s="78" t="s">
        <v>2</v>
      </c>
      <c r="CA5" s="823" t="s">
        <v>61</v>
      </c>
      <c r="CB5" s="823"/>
      <c r="CC5" s="823"/>
      <c r="CD5" s="823"/>
      <c r="CE5" s="823"/>
      <c r="CF5" s="823"/>
      <c r="CG5" s="823"/>
      <c r="CH5" s="823"/>
      <c r="CI5" s="823"/>
      <c r="CJ5" s="823"/>
      <c r="CK5" s="823"/>
      <c r="CL5" s="823"/>
      <c r="CM5" s="823"/>
      <c r="CN5" s="823"/>
      <c r="CP5" s="78" t="s">
        <v>2</v>
      </c>
      <c r="CQ5" s="823" t="s">
        <v>65</v>
      </c>
      <c r="CR5" s="823"/>
      <c r="CS5" s="823"/>
      <c r="CT5" s="823"/>
      <c r="CU5" s="823"/>
      <c r="CV5" s="823"/>
      <c r="CW5" s="823"/>
      <c r="CX5" s="823"/>
      <c r="CY5" s="823"/>
      <c r="CZ5" s="823"/>
      <c r="DA5" s="823"/>
      <c r="DB5" s="823"/>
      <c r="DD5" s="78" t="s">
        <v>2</v>
      </c>
      <c r="DE5" s="823" t="s">
        <v>72</v>
      </c>
      <c r="DF5" s="823"/>
      <c r="DG5" s="823"/>
      <c r="DH5" s="823"/>
      <c r="DI5" s="823"/>
      <c r="DJ5" s="823"/>
      <c r="DK5" s="823"/>
      <c r="DL5" s="823"/>
      <c r="DM5" s="823"/>
      <c r="DN5" s="823"/>
      <c r="DO5" s="823"/>
      <c r="DP5" s="823"/>
      <c r="DR5" s="94" t="s">
        <v>2</v>
      </c>
      <c r="DS5" s="823" t="s">
        <v>71</v>
      </c>
      <c r="DT5" s="823"/>
      <c r="DU5" s="823"/>
      <c r="DV5" s="823"/>
      <c r="DW5" s="823"/>
      <c r="DX5" s="823"/>
      <c r="DY5" s="823"/>
      <c r="DZ5" s="823"/>
      <c r="EA5" s="823"/>
      <c r="EB5" s="823"/>
      <c r="EC5" s="823"/>
      <c r="ED5" s="823"/>
      <c r="EE5" s="823"/>
      <c r="EF5" s="823"/>
      <c r="EG5" s="823"/>
      <c r="EH5" s="823"/>
      <c r="EI5" s="823"/>
      <c r="EJ5" s="823"/>
      <c r="EL5" s="78" t="s">
        <v>2</v>
      </c>
      <c r="EM5" s="841" t="s">
        <v>78</v>
      </c>
      <c r="EN5" s="842"/>
      <c r="EO5" s="842"/>
      <c r="EP5" s="842"/>
      <c r="EQ5" s="842"/>
      <c r="ER5" s="842"/>
    </row>
    <row r="6" spans="2:148" ht="2.25" customHeight="1" x14ac:dyDescent="0.25"/>
    <row r="7" spans="2:148" s="5" customFormat="1" ht="12.75" customHeight="1" x14ac:dyDescent="0.25">
      <c r="B7" s="716" t="s">
        <v>40</v>
      </c>
      <c r="C7" s="716" t="s">
        <v>41</v>
      </c>
      <c r="D7" s="819" t="s">
        <v>84</v>
      </c>
      <c r="E7" s="820"/>
      <c r="F7" s="821"/>
      <c r="G7" s="819" t="s">
        <v>85</v>
      </c>
      <c r="H7" s="820"/>
      <c r="I7" s="821"/>
      <c r="J7" s="819" t="s">
        <v>88</v>
      </c>
      <c r="K7" s="820"/>
      <c r="L7" s="821"/>
      <c r="M7" s="819" t="s">
        <v>86</v>
      </c>
      <c r="N7" s="820"/>
      <c r="O7" s="821"/>
      <c r="P7" s="822" t="s">
        <v>43</v>
      </c>
      <c r="Q7" s="822"/>
      <c r="R7" s="626" t="s">
        <v>94</v>
      </c>
      <c r="S7" s="627"/>
      <c r="T7" s="698" t="s">
        <v>81</v>
      </c>
      <c r="U7" s="698" t="s">
        <v>82</v>
      </c>
      <c r="V7" s="698" t="s">
        <v>83</v>
      </c>
      <c r="W7"/>
      <c r="X7" s="716" t="s">
        <v>40</v>
      </c>
      <c r="Y7" s="716" t="s">
        <v>41</v>
      </c>
      <c r="Z7" s="819" t="s">
        <v>84</v>
      </c>
      <c r="AA7" s="820"/>
      <c r="AB7" s="821"/>
      <c r="AC7" s="819" t="s">
        <v>89</v>
      </c>
      <c r="AD7" s="820"/>
      <c r="AE7" s="821"/>
      <c r="AF7" s="723" t="s">
        <v>43</v>
      </c>
      <c r="AG7" s="723"/>
      <c r="AH7" s="825" t="s">
        <v>95</v>
      </c>
      <c r="AI7" s="826"/>
      <c r="AJ7" s="698" t="s">
        <v>81</v>
      </c>
      <c r="AK7" s="698" t="s">
        <v>82</v>
      </c>
      <c r="AL7" s="698" t="s">
        <v>83</v>
      </c>
      <c r="AN7" s="716" t="s">
        <v>40</v>
      </c>
      <c r="AO7" s="716" t="s">
        <v>41</v>
      </c>
      <c r="AP7" s="819" t="s">
        <v>85</v>
      </c>
      <c r="AQ7" s="820"/>
      <c r="AR7" s="821"/>
      <c r="AS7" s="819" t="s">
        <v>88</v>
      </c>
      <c r="AT7" s="820"/>
      <c r="AU7" s="821"/>
      <c r="AV7" s="819" t="s">
        <v>86</v>
      </c>
      <c r="AW7" s="820"/>
      <c r="AX7" s="821"/>
      <c r="AY7" s="824" t="s">
        <v>43</v>
      </c>
      <c r="AZ7" s="824"/>
      <c r="BA7" s="825" t="s">
        <v>96</v>
      </c>
      <c r="BB7" s="826"/>
      <c r="BC7" s="698" t="s">
        <v>81</v>
      </c>
      <c r="BD7" s="698" t="s">
        <v>82</v>
      </c>
      <c r="BE7" s="698" t="s">
        <v>83</v>
      </c>
      <c r="BG7" s="716" t="s">
        <v>40</v>
      </c>
      <c r="BH7" s="716" t="s">
        <v>41</v>
      </c>
      <c r="BI7" s="819" t="s">
        <v>85</v>
      </c>
      <c r="BJ7" s="820"/>
      <c r="BK7" s="821"/>
      <c r="BL7" s="819" t="s">
        <v>88</v>
      </c>
      <c r="BM7" s="820"/>
      <c r="BN7" s="821"/>
      <c r="BO7" s="819" t="s">
        <v>86</v>
      </c>
      <c r="BP7" s="820"/>
      <c r="BQ7" s="821"/>
      <c r="BR7" s="827" t="s">
        <v>43</v>
      </c>
      <c r="BS7" s="828"/>
      <c r="BT7" s="825" t="s">
        <v>96</v>
      </c>
      <c r="BU7" s="826"/>
      <c r="BV7" s="698" t="s">
        <v>81</v>
      </c>
      <c r="BW7" s="698" t="s">
        <v>82</v>
      </c>
      <c r="BX7" s="698" t="s">
        <v>83</v>
      </c>
      <c r="BZ7" s="716" t="s">
        <v>40</v>
      </c>
      <c r="CA7" s="716" t="s">
        <v>41</v>
      </c>
      <c r="CB7" s="718" t="s">
        <v>84</v>
      </c>
      <c r="CC7" s="719"/>
      <c r="CD7" s="720"/>
      <c r="CE7" s="718" t="s">
        <v>85</v>
      </c>
      <c r="CF7" s="719"/>
      <c r="CG7" s="720"/>
      <c r="CH7" s="721" t="s">
        <v>43</v>
      </c>
      <c r="CI7" s="722"/>
      <c r="CJ7" s="723" t="s">
        <v>44</v>
      </c>
      <c r="CK7" s="723"/>
      <c r="CL7" s="698" t="s">
        <v>81</v>
      </c>
      <c r="CM7" s="698" t="s">
        <v>82</v>
      </c>
      <c r="CN7" s="698" t="s">
        <v>83</v>
      </c>
      <c r="CP7" s="716" t="s">
        <v>40</v>
      </c>
      <c r="CQ7" s="716" t="s">
        <v>41</v>
      </c>
      <c r="CR7" s="718" t="s">
        <v>84</v>
      </c>
      <c r="CS7" s="719"/>
      <c r="CT7" s="720"/>
      <c r="CU7" s="718" t="s">
        <v>85</v>
      </c>
      <c r="CV7" s="719"/>
      <c r="CW7" s="720"/>
      <c r="CX7" s="740" t="s">
        <v>43</v>
      </c>
      <c r="CY7" s="741" t="s">
        <v>62</v>
      </c>
      <c r="CZ7" s="698" t="s">
        <v>81</v>
      </c>
      <c r="DA7" s="698" t="s">
        <v>82</v>
      </c>
      <c r="DB7" s="698" t="s">
        <v>83</v>
      </c>
      <c r="DD7" s="716" t="s">
        <v>40</v>
      </c>
      <c r="DE7" s="716" t="s">
        <v>41</v>
      </c>
      <c r="DF7" s="718" t="s">
        <v>84</v>
      </c>
      <c r="DG7" s="719"/>
      <c r="DH7" s="720"/>
      <c r="DI7" s="718" t="s">
        <v>85</v>
      </c>
      <c r="DJ7" s="719"/>
      <c r="DK7" s="720"/>
      <c r="DL7" s="740" t="s">
        <v>43</v>
      </c>
      <c r="DM7" s="741" t="s">
        <v>44</v>
      </c>
      <c r="DN7" s="698" t="s">
        <v>81</v>
      </c>
      <c r="DO7" s="698" t="s">
        <v>82</v>
      </c>
      <c r="DP7" s="698" t="s">
        <v>83</v>
      </c>
      <c r="DR7" s="716" t="s">
        <v>40</v>
      </c>
      <c r="DS7" s="1" t="s">
        <v>41</v>
      </c>
      <c r="DT7" s="718" t="s">
        <v>84</v>
      </c>
      <c r="DU7" s="719"/>
      <c r="DV7" s="720"/>
      <c r="DW7" s="718" t="s">
        <v>85</v>
      </c>
      <c r="DX7" s="719"/>
      <c r="DY7" s="720"/>
      <c r="DZ7" s="718" t="s">
        <v>88</v>
      </c>
      <c r="EA7" s="719"/>
      <c r="EB7" s="720"/>
      <c r="EC7" s="718" t="s">
        <v>86</v>
      </c>
      <c r="ED7" s="719"/>
      <c r="EE7" s="720"/>
      <c r="EF7" s="740" t="s">
        <v>43</v>
      </c>
      <c r="EG7" s="741" t="s">
        <v>97</v>
      </c>
      <c r="EH7" s="698" t="s">
        <v>81</v>
      </c>
      <c r="EI7" s="698" t="s">
        <v>82</v>
      </c>
      <c r="EJ7" s="698" t="s">
        <v>83</v>
      </c>
      <c r="EL7" s="798" t="s">
        <v>40</v>
      </c>
      <c r="EM7" s="716" t="s">
        <v>41</v>
      </c>
      <c r="EN7" s="800" t="s">
        <v>80</v>
      </c>
      <c r="EO7" s="800" t="s">
        <v>42</v>
      </c>
      <c r="EP7" s="2" t="s">
        <v>45</v>
      </c>
    </row>
    <row r="8" spans="2:148" s="5" customFormat="1" ht="15.75" x14ac:dyDescent="0.25">
      <c r="B8" s="717"/>
      <c r="C8" s="717"/>
      <c r="D8" s="4" t="s">
        <v>82</v>
      </c>
      <c r="E8" s="4" t="s">
        <v>83</v>
      </c>
      <c r="F8" s="4" t="s">
        <v>87</v>
      </c>
      <c r="G8" s="4" t="s">
        <v>82</v>
      </c>
      <c r="H8" s="4" t="s">
        <v>83</v>
      </c>
      <c r="I8" s="4" t="s">
        <v>87</v>
      </c>
      <c r="J8" s="4" t="s">
        <v>82</v>
      </c>
      <c r="K8" s="4" t="s">
        <v>83</v>
      </c>
      <c r="L8" s="4" t="s">
        <v>87</v>
      </c>
      <c r="M8" s="4" t="s">
        <v>82</v>
      </c>
      <c r="N8" s="4" t="s">
        <v>83</v>
      </c>
      <c r="O8" s="4" t="s">
        <v>87</v>
      </c>
      <c r="P8" s="70" t="s">
        <v>92</v>
      </c>
      <c r="Q8" s="70" t="s">
        <v>93</v>
      </c>
      <c r="R8" s="70" t="s">
        <v>92</v>
      </c>
      <c r="S8" s="70" t="s">
        <v>93</v>
      </c>
      <c r="T8" s="699"/>
      <c r="U8" s="699"/>
      <c r="V8" s="699"/>
      <c r="W8"/>
      <c r="X8" s="717"/>
      <c r="Y8" s="717"/>
      <c r="Z8" s="4" t="s">
        <v>82</v>
      </c>
      <c r="AA8" s="4" t="s">
        <v>83</v>
      </c>
      <c r="AB8" s="4" t="s">
        <v>87</v>
      </c>
      <c r="AC8" s="54" t="s">
        <v>90</v>
      </c>
      <c r="AD8" s="54" t="s">
        <v>91</v>
      </c>
      <c r="AE8" s="4" t="s">
        <v>87</v>
      </c>
      <c r="AF8" s="57" t="s">
        <v>92</v>
      </c>
      <c r="AG8" s="57" t="s">
        <v>93</v>
      </c>
      <c r="AH8" s="57" t="s">
        <v>92</v>
      </c>
      <c r="AI8" s="57" t="s">
        <v>93</v>
      </c>
      <c r="AJ8" s="699"/>
      <c r="AK8" s="699"/>
      <c r="AL8" s="699"/>
      <c r="AN8" s="717"/>
      <c r="AO8" s="717"/>
      <c r="AP8" s="4" t="s">
        <v>82</v>
      </c>
      <c r="AQ8" s="4" t="s">
        <v>83</v>
      </c>
      <c r="AR8" s="4" t="s">
        <v>87</v>
      </c>
      <c r="AS8" s="4" t="s">
        <v>82</v>
      </c>
      <c r="AT8" s="4" t="s">
        <v>83</v>
      </c>
      <c r="AU8" s="4" t="s">
        <v>87</v>
      </c>
      <c r="AV8" s="4" t="s">
        <v>82</v>
      </c>
      <c r="AW8" s="4" t="s">
        <v>83</v>
      </c>
      <c r="AX8" s="4" t="s">
        <v>87</v>
      </c>
      <c r="AY8" s="58" t="s">
        <v>92</v>
      </c>
      <c r="AZ8" s="58" t="s">
        <v>93</v>
      </c>
      <c r="BA8" s="58" t="s">
        <v>92</v>
      </c>
      <c r="BB8" s="58" t="s">
        <v>93</v>
      </c>
      <c r="BC8" s="699"/>
      <c r="BD8" s="699"/>
      <c r="BE8" s="699"/>
      <c r="BG8" s="717"/>
      <c r="BH8" s="717"/>
      <c r="BI8" s="4" t="s">
        <v>82</v>
      </c>
      <c r="BJ8" s="4" t="s">
        <v>83</v>
      </c>
      <c r="BK8" s="4" t="s">
        <v>87</v>
      </c>
      <c r="BL8" s="4" t="s">
        <v>82</v>
      </c>
      <c r="BM8" s="4" t="s">
        <v>83</v>
      </c>
      <c r="BN8" s="4" t="s">
        <v>87</v>
      </c>
      <c r="BO8" s="4" t="s">
        <v>82</v>
      </c>
      <c r="BP8" s="4" t="s">
        <v>83</v>
      </c>
      <c r="BQ8" s="4" t="s">
        <v>87</v>
      </c>
      <c r="BR8" s="58" t="s">
        <v>92</v>
      </c>
      <c r="BS8" s="58" t="s">
        <v>93</v>
      </c>
      <c r="BT8" s="58" t="s">
        <v>92</v>
      </c>
      <c r="BU8" s="58" t="s">
        <v>93</v>
      </c>
      <c r="BV8" s="699"/>
      <c r="BW8" s="699"/>
      <c r="BX8" s="699"/>
      <c r="BZ8" s="717"/>
      <c r="CA8" s="717"/>
      <c r="CB8" s="1" t="s">
        <v>82</v>
      </c>
      <c r="CC8" s="1" t="s">
        <v>83</v>
      </c>
      <c r="CD8" s="1" t="s">
        <v>87</v>
      </c>
      <c r="CE8" s="1" t="s">
        <v>82</v>
      </c>
      <c r="CF8" s="1" t="s">
        <v>83</v>
      </c>
      <c r="CG8" s="1" t="s">
        <v>87</v>
      </c>
      <c r="CH8" s="58" t="s">
        <v>92</v>
      </c>
      <c r="CI8" s="58" t="s">
        <v>93</v>
      </c>
      <c r="CJ8" s="57" t="s">
        <v>92</v>
      </c>
      <c r="CK8" s="57" t="s">
        <v>93</v>
      </c>
      <c r="CL8" s="699"/>
      <c r="CM8" s="699"/>
      <c r="CN8" s="699"/>
      <c r="CP8" s="717"/>
      <c r="CQ8" s="717"/>
      <c r="CR8" s="1" t="s">
        <v>82</v>
      </c>
      <c r="CS8" s="1" t="s">
        <v>83</v>
      </c>
      <c r="CT8" s="1" t="s">
        <v>87</v>
      </c>
      <c r="CU8" s="1" t="s">
        <v>82</v>
      </c>
      <c r="CV8" s="1" t="s">
        <v>83</v>
      </c>
      <c r="CW8" s="1" t="s">
        <v>87</v>
      </c>
      <c r="CX8" s="717"/>
      <c r="CY8" s="742"/>
      <c r="CZ8" s="699"/>
      <c r="DA8" s="699"/>
      <c r="DB8" s="699"/>
      <c r="DD8" s="717"/>
      <c r="DE8" s="717"/>
      <c r="DF8" s="1" t="s">
        <v>82</v>
      </c>
      <c r="DG8" s="1" t="s">
        <v>83</v>
      </c>
      <c r="DH8" s="1" t="s">
        <v>87</v>
      </c>
      <c r="DI8" s="1" t="s">
        <v>82</v>
      </c>
      <c r="DJ8" s="1" t="s">
        <v>83</v>
      </c>
      <c r="DK8" s="1" t="s">
        <v>87</v>
      </c>
      <c r="DL8" s="717"/>
      <c r="DM8" s="742"/>
      <c r="DN8" s="699"/>
      <c r="DO8" s="699"/>
      <c r="DP8" s="699"/>
      <c r="DR8" s="717"/>
      <c r="DS8" s="1"/>
      <c r="DT8" s="1" t="s">
        <v>82</v>
      </c>
      <c r="DU8" s="1" t="s">
        <v>83</v>
      </c>
      <c r="DV8" s="1" t="s">
        <v>87</v>
      </c>
      <c r="DW8" s="1" t="s">
        <v>82</v>
      </c>
      <c r="DX8" s="1" t="s">
        <v>83</v>
      </c>
      <c r="DY8" s="1" t="s">
        <v>87</v>
      </c>
      <c r="DZ8" s="1" t="s">
        <v>82</v>
      </c>
      <c r="EA8" s="1" t="s">
        <v>83</v>
      </c>
      <c r="EB8" s="1" t="s">
        <v>87</v>
      </c>
      <c r="EC8" s="1" t="s">
        <v>82</v>
      </c>
      <c r="ED8" s="1" t="s">
        <v>83</v>
      </c>
      <c r="EE8" s="1" t="s">
        <v>87</v>
      </c>
      <c r="EF8" s="717"/>
      <c r="EG8" s="742"/>
      <c r="EH8" s="699"/>
      <c r="EI8" s="699"/>
      <c r="EJ8" s="699"/>
      <c r="EL8" s="799"/>
      <c r="EM8" s="717"/>
      <c r="EN8" s="742"/>
      <c r="EO8" s="742"/>
      <c r="EP8" s="2"/>
    </row>
    <row r="9" spans="2:148" s="16" customFormat="1" ht="15.75" x14ac:dyDescent="0.25">
      <c r="B9" s="79" t="s">
        <v>6</v>
      </c>
      <c r="C9" s="79" t="s">
        <v>7</v>
      </c>
      <c r="D9" s="67">
        <v>0</v>
      </c>
      <c r="E9" s="67">
        <v>8</v>
      </c>
      <c r="F9" s="60">
        <v>0</v>
      </c>
      <c r="G9" s="59">
        <v>1</v>
      </c>
      <c r="H9" s="59">
        <v>3</v>
      </c>
      <c r="I9" s="60">
        <v>0.33333333333333331</v>
      </c>
      <c r="J9" s="59">
        <v>2</v>
      </c>
      <c r="K9" s="59">
        <v>8</v>
      </c>
      <c r="L9" s="60">
        <v>0.25</v>
      </c>
      <c r="M9" s="11">
        <v>2</v>
      </c>
      <c r="N9" s="11">
        <v>10</v>
      </c>
      <c r="O9" s="10">
        <v>0.2</v>
      </c>
      <c r="P9" s="13">
        <f t="shared" ref="P9:P25" si="0">IF(O9&lt;$P$3,$P$3-O9,"-")</f>
        <v>0.7</v>
      </c>
      <c r="Q9" s="56">
        <f t="shared" ref="Q9:Q25" si="1">IFERROR(P9*N9,"-")</f>
        <v>7</v>
      </c>
      <c r="R9" s="12">
        <f>IFERROR(P9*0.3,"-")</f>
        <v>0.21</v>
      </c>
      <c r="S9" s="56">
        <f t="shared" ref="S9:S25" si="2">IFERROR(R9*N9,"-")</f>
        <v>2.1</v>
      </c>
      <c r="T9" s="14">
        <f t="shared" ref="T9:T25" si="3">IFERROR((R9+O9),IF(O9&gt;=$P$3,O9))</f>
        <v>0.41000000000000003</v>
      </c>
      <c r="U9" s="15">
        <f>V9*T9</f>
        <v>4.1000000000000005</v>
      </c>
      <c r="V9" s="15">
        <f>N9</f>
        <v>10</v>
      </c>
      <c r="X9" s="79" t="s">
        <v>6</v>
      </c>
      <c r="Y9" s="79" t="s">
        <v>7</v>
      </c>
      <c r="Z9" s="67">
        <v>5515</v>
      </c>
      <c r="AA9" s="67">
        <v>6701</v>
      </c>
      <c r="AB9" s="99">
        <v>0.82301149082226532</v>
      </c>
      <c r="AC9" s="9">
        <v>4849</v>
      </c>
      <c r="AD9" s="9">
        <v>12841</v>
      </c>
      <c r="AE9" s="10">
        <f>AC9/AD9</f>
        <v>0.3776185655322794</v>
      </c>
      <c r="AF9" s="13">
        <f t="shared" ref="AF9:AF25" si="4">IF(AE9&lt;$AG$3,$AG$3-AE9,"-")</f>
        <v>0.42238143446772064</v>
      </c>
      <c r="AG9" s="56">
        <f>IFERROR(AF9*AD9,"-")</f>
        <v>5423.8000000000011</v>
      </c>
      <c r="AH9" s="13">
        <f>IFERROR(AF9*0.25,"-")</f>
        <v>0.10559535861693016</v>
      </c>
      <c r="AI9" s="56">
        <f>IFERROR(AH9*AD9,"-")</f>
        <v>1355.9500000000003</v>
      </c>
      <c r="AJ9" s="14">
        <f>AH9+AE9</f>
        <v>0.48321392414920955</v>
      </c>
      <c r="AK9" s="15">
        <f>AJ9*AD9</f>
        <v>6204.95</v>
      </c>
      <c r="AL9" s="15">
        <f>AD9</f>
        <v>12841</v>
      </c>
      <c r="AN9" s="79" t="s">
        <v>6</v>
      </c>
      <c r="AO9" s="79" t="s">
        <v>7</v>
      </c>
      <c r="AP9" s="71">
        <v>714</v>
      </c>
      <c r="AQ9" s="71">
        <v>4985</v>
      </c>
      <c r="AR9" s="72">
        <v>0.1432296890672016</v>
      </c>
      <c r="AS9" s="59">
        <v>1009</v>
      </c>
      <c r="AT9" s="59">
        <v>5231</v>
      </c>
      <c r="AU9" s="72">
        <v>0.193</v>
      </c>
      <c r="AV9" s="11">
        <v>1104</v>
      </c>
      <c r="AW9" s="11">
        <v>5231</v>
      </c>
      <c r="AX9" s="17">
        <v>0.21104951252150642</v>
      </c>
      <c r="AY9" s="13">
        <f t="shared" ref="AY9:AY25" si="5">IF(AX9&lt;$AY$3,$AY$3-AX9,"-")</f>
        <v>0.13895048747849356</v>
      </c>
      <c r="AZ9" s="56">
        <f t="shared" ref="AZ9:AZ25" si="6">IFERROR(AY9*AW9,"-")</f>
        <v>726.8499999999998</v>
      </c>
      <c r="BA9" s="13">
        <f>IFERROR(AY9*0.5,"-")</f>
        <v>6.9475243739246781E-2</v>
      </c>
      <c r="BB9" s="56">
        <f t="shared" ref="BB9:BB25" si="7">IFERROR(BA9*AW9,"-")</f>
        <v>363.4249999999999</v>
      </c>
      <c r="BC9" s="53">
        <f t="shared" ref="BC9:BC25" si="8">IFERROR((BA9+AX9),IF(AX9&gt;=35%,AX9))</f>
        <v>0.28052475626075318</v>
      </c>
      <c r="BD9" s="15">
        <f>BE9*BC9</f>
        <v>1398.4159099598546</v>
      </c>
      <c r="BE9" s="15">
        <v>4985</v>
      </c>
      <c r="BG9" s="79" t="s">
        <v>6</v>
      </c>
      <c r="BH9" s="79" t="s">
        <v>7</v>
      </c>
      <c r="BI9" s="67">
        <v>99</v>
      </c>
      <c r="BJ9" s="67">
        <v>553</v>
      </c>
      <c r="BK9" s="82">
        <f>BI9/BJ9</f>
        <v>0.17902350813743217</v>
      </c>
      <c r="BL9" s="59">
        <v>103</v>
      </c>
      <c r="BM9" s="83">
        <v>579.75</v>
      </c>
      <c r="BN9" s="84">
        <v>0.17758620689655172</v>
      </c>
      <c r="BO9" s="9">
        <v>109</v>
      </c>
      <c r="BP9" s="9">
        <v>580</v>
      </c>
      <c r="BQ9" s="10">
        <v>0.18793103448275861</v>
      </c>
      <c r="BR9" s="13" t="str">
        <f t="shared" ref="BR9:BR25" si="9">IF(BQ9&lt;$BR$3,$BR$3-BQ9,"-")</f>
        <v>-</v>
      </c>
      <c r="BS9" s="55" t="str">
        <f t="shared" ref="BS9:BS25" si="10">IFERROR(BR9*BP9,"-")</f>
        <v>-</v>
      </c>
      <c r="BT9" s="13" t="str">
        <f>IFERROR(BR9*0.5,"-")</f>
        <v>-</v>
      </c>
      <c r="BU9" s="55" t="str">
        <f t="shared" ref="BU9:BU25" si="11">IFERROR(BT9*BP9,"-")</f>
        <v>-</v>
      </c>
      <c r="BV9" s="52">
        <f t="shared" ref="BV9:BV25" si="12">IFERROR((BT9+BQ9),IF(BQ9&gt;=11%,BQ9))</f>
        <v>0.18793103448275861</v>
      </c>
      <c r="BW9" s="15">
        <f>BX9*BV9</f>
        <v>108.99999999999999</v>
      </c>
      <c r="BX9" s="15">
        <f>BP9</f>
        <v>580</v>
      </c>
      <c r="BZ9" s="79" t="s">
        <v>6</v>
      </c>
      <c r="CA9" s="79" t="s">
        <v>7</v>
      </c>
      <c r="CB9" s="71">
        <v>666</v>
      </c>
      <c r="CC9" s="96">
        <v>4249.1000000000004</v>
      </c>
      <c r="CD9" s="82">
        <v>0.15673907415688026</v>
      </c>
      <c r="CE9" s="20">
        <v>483</v>
      </c>
      <c r="CF9" s="20">
        <v>4703.991</v>
      </c>
      <c r="CG9" s="18">
        <v>0.10267876788029569</v>
      </c>
      <c r="CH9" s="13">
        <f t="shared" ref="CH9:CH25" si="13">IF(CG9&lt;$CH$3,$CH$3-CG9,"-")</f>
        <v>0.17732123211970435</v>
      </c>
      <c r="CI9" s="56">
        <f t="shared" ref="CI9:CI25" si="14">IFERROR(CH9*CF9,"-")</f>
        <v>834.11748000000023</v>
      </c>
      <c r="CJ9" s="13">
        <f>IFERROR(CH9*0.3,"-")</f>
        <v>5.3196369635911303E-2</v>
      </c>
      <c r="CK9" s="56">
        <f t="shared" ref="CK9:CK25" si="15">IFERROR(CJ9*CF9,"-")</f>
        <v>250.23524400000005</v>
      </c>
      <c r="CL9" s="14">
        <f t="shared" ref="CL9:CL25" si="16">IFERROR((CJ9+CG9),IF(CG9&gt;$CH$3,CG9))</f>
        <v>0.15587513751620699</v>
      </c>
      <c r="CM9" s="15">
        <f>CN9*CL9</f>
        <v>733.23524400000008</v>
      </c>
      <c r="CN9" s="15">
        <f>CF9</f>
        <v>4703.991</v>
      </c>
      <c r="CP9" s="79" t="s">
        <v>6</v>
      </c>
      <c r="CQ9" s="79" t="s">
        <v>7</v>
      </c>
      <c r="CR9" s="16">
        <v>521</v>
      </c>
      <c r="CS9" s="16">
        <v>3096</v>
      </c>
      <c r="CT9" s="108">
        <v>0.16828165374677004</v>
      </c>
      <c r="CU9" s="8">
        <v>726</v>
      </c>
      <c r="CV9" s="8">
        <v>1758</v>
      </c>
      <c r="CW9" s="18">
        <v>0.41296928327645049</v>
      </c>
      <c r="CX9" s="13">
        <f t="shared" ref="CX9:CX25" si="17">IF(CW9&lt;$CX$3,$CX$3-CW9,"-")</f>
        <v>0.48703071672354953</v>
      </c>
      <c r="CY9" s="13">
        <f>IFERROR(CX9*0.5,"-")</f>
        <v>0.24351535836177476</v>
      </c>
      <c r="CZ9" s="14">
        <f t="shared" ref="CZ9:CZ25" si="18">IFERROR((CY9+CW9),IF(CW9&gt;=$CX$3,CW9))</f>
        <v>0.65648464163822529</v>
      </c>
      <c r="DA9" s="15">
        <f>DB9*CZ9</f>
        <v>1154.1000000000001</v>
      </c>
      <c r="DB9" s="15">
        <f>CV9</f>
        <v>1758</v>
      </c>
      <c r="DD9" s="79" t="s">
        <v>6</v>
      </c>
      <c r="DE9" s="79" t="s">
        <v>7</v>
      </c>
      <c r="DF9" s="71">
        <v>3912</v>
      </c>
      <c r="DG9" s="96">
        <v>7979.6989999999996</v>
      </c>
      <c r="DH9" s="82">
        <v>0.49024405557151968</v>
      </c>
      <c r="DI9" s="8">
        <v>1644</v>
      </c>
      <c r="DJ9" s="35">
        <v>10609.825000000001</v>
      </c>
      <c r="DK9" s="18">
        <v>0.15495071784878636</v>
      </c>
      <c r="DL9" s="13">
        <f t="shared" ref="DL9:DL25" si="19">IF(DK9&lt;$DL$3,$DL$3-DK9,"-")</f>
        <v>0.2750492821512136</v>
      </c>
      <c r="DM9" s="13">
        <f>IFERROR(DL9*0.3,"-")</f>
        <v>8.2514784645364075E-2</v>
      </c>
      <c r="DN9" s="14">
        <f t="shared" ref="DN9:DN25" si="20">IFERROR((DM9+DK9),IF(DK9&gt;=DK9,DK9))</f>
        <v>0.23746550249415044</v>
      </c>
      <c r="DO9" s="15">
        <f>DP9*DN9</f>
        <v>2519.4674249999998</v>
      </c>
      <c r="DP9" s="15">
        <f>DJ9</f>
        <v>10609.825000000001</v>
      </c>
      <c r="DR9" s="79" t="s">
        <v>6</v>
      </c>
      <c r="DS9" s="79" t="s">
        <v>7</v>
      </c>
      <c r="DT9" s="71">
        <v>193</v>
      </c>
      <c r="DU9" s="71">
        <v>311</v>
      </c>
      <c r="DV9" s="82">
        <v>0.62057877813504825</v>
      </c>
      <c r="DW9" s="71">
        <v>94</v>
      </c>
      <c r="DX9" s="71">
        <v>147</v>
      </c>
      <c r="DY9" s="82">
        <v>0.63945578231292521</v>
      </c>
      <c r="DZ9" s="59">
        <v>130</v>
      </c>
      <c r="EA9" s="59">
        <v>195</v>
      </c>
      <c r="EB9" s="84">
        <v>0.66666666666666663</v>
      </c>
      <c r="EC9" s="9">
        <v>152</v>
      </c>
      <c r="ED9" s="9">
        <v>220</v>
      </c>
      <c r="EE9" s="19">
        <f>EC9/ED9</f>
        <v>0.69090909090909092</v>
      </c>
      <c r="EF9" s="13" t="str">
        <f t="shared" ref="EF9:EF25" si="21">IF(EE9&lt;$EF$3,$EF$3-EE9,"-")</f>
        <v>-</v>
      </c>
      <c r="EG9" s="13" t="str">
        <f>IFERROR(EF9*0.15,"-")</f>
        <v>-</v>
      </c>
      <c r="EH9" s="52">
        <f t="shared" ref="EH9:EH25" si="22">IFERROR((EG9+EE9),IF(EE9&gt;=$EF$3,EE9))</f>
        <v>0.69090909090909092</v>
      </c>
      <c r="EI9" s="15">
        <f>EJ9*EH9</f>
        <v>152</v>
      </c>
      <c r="EJ9" s="15">
        <f>ED9</f>
        <v>220</v>
      </c>
      <c r="EL9" s="71" t="s">
        <v>6</v>
      </c>
      <c r="EM9" s="71" t="s">
        <v>7</v>
      </c>
      <c r="EN9" s="12">
        <v>0.8</v>
      </c>
      <c r="EO9" s="13">
        <v>0</v>
      </c>
      <c r="EP9" s="21">
        <f>EN9</f>
        <v>0.8</v>
      </c>
    </row>
    <row r="10" spans="2:148" s="16" customFormat="1" ht="15.75" x14ac:dyDescent="0.25">
      <c r="B10" s="79" t="s">
        <v>8</v>
      </c>
      <c r="C10" s="79" t="s">
        <v>7</v>
      </c>
      <c r="D10" s="67">
        <v>4</v>
      </c>
      <c r="E10" s="67">
        <v>3</v>
      </c>
      <c r="F10" s="60">
        <v>1.3333333333333333</v>
      </c>
      <c r="G10" s="59">
        <v>5</v>
      </c>
      <c r="H10" s="59">
        <v>8</v>
      </c>
      <c r="I10" s="60">
        <v>0.625</v>
      </c>
      <c r="J10" s="59">
        <v>6</v>
      </c>
      <c r="K10" s="59">
        <v>9</v>
      </c>
      <c r="L10" s="60">
        <v>0.66666666666666663</v>
      </c>
      <c r="M10" s="11">
        <v>8</v>
      </c>
      <c r="N10" s="11">
        <v>12</v>
      </c>
      <c r="O10" s="10">
        <v>0.66666666666666663</v>
      </c>
      <c r="P10" s="13">
        <f t="shared" si="0"/>
        <v>0.23333333333333339</v>
      </c>
      <c r="Q10" s="56">
        <f t="shared" si="1"/>
        <v>2.8000000000000007</v>
      </c>
      <c r="R10" s="13">
        <f>IFERROR(P10*0.3,"-")</f>
        <v>7.0000000000000021E-2</v>
      </c>
      <c r="S10" s="56">
        <f t="shared" si="2"/>
        <v>0.8400000000000003</v>
      </c>
      <c r="T10" s="14">
        <f t="shared" si="3"/>
        <v>0.73666666666666669</v>
      </c>
      <c r="U10" s="15">
        <f t="shared" ref="U10:U41" si="23">V10*T10</f>
        <v>8.84</v>
      </c>
      <c r="V10" s="15">
        <f t="shared" ref="V10:V41" si="24">N10</f>
        <v>12</v>
      </c>
      <c r="X10" s="79" t="s">
        <v>8</v>
      </c>
      <c r="Y10" s="79" t="s">
        <v>7</v>
      </c>
      <c r="Z10" s="67">
        <v>3319</v>
      </c>
      <c r="AA10" s="67">
        <v>3469</v>
      </c>
      <c r="AB10" s="99">
        <v>0.95675987316229461</v>
      </c>
      <c r="AC10" s="9">
        <v>2906</v>
      </c>
      <c r="AD10" s="9">
        <v>6283</v>
      </c>
      <c r="AE10" s="10">
        <f t="shared" ref="AE10:AE41" si="25">AC10/AD10</f>
        <v>0.46251790545917554</v>
      </c>
      <c r="AF10" s="13">
        <f t="shared" si="4"/>
        <v>0.33748209454082451</v>
      </c>
      <c r="AG10" s="56">
        <f t="shared" ref="AG10:AG24" si="26">IFERROR(AF10*AD10,"-")</f>
        <v>2120.4000000000005</v>
      </c>
      <c r="AH10" s="13">
        <f t="shared" ref="AH10:AH41" si="27">IFERROR(AF10*0.25,"-")</f>
        <v>8.4370523635206127E-2</v>
      </c>
      <c r="AI10" s="56">
        <f t="shared" ref="AI10:AI41" si="28">IFERROR(AH10*AD10,"-")</f>
        <v>530.10000000000014</v>
      </c>
      <c r="AJ10" s="14">
        <f t="shared" ref="AJ10:AJ41" si="29">AH10+AE10</f>
        <v>0.54688842909438162</v>
      </c>
      <c r="AK10" s="15">
        <f t="shared" ref="AK10:AK41" si="30">AJ10*AD10</f>
        <v>3436.1</v>
      </c>
      <c r="AL10" s="15">
        <f t="shared" ref="AL10:AL41" si="31">AD10</f>
        <v>6283</v>
      </c>
      <c r="AN10" s="79" t="s">
        <v>8</v>
      </c>
      <c r="AO10" s="79" t="s">
        <v>7</v>
      </c>
      <c r="AP10" s="71">
        <v>93</v>
      </c>
      <c r="AQ10" s="71">
        <v>2388</v>
      </c>
      <c r="AR10" s="72">
        <v>3.8944723618090454E-2</v>
      </c>
      <c r="AS10" s="59">
        <v>225</v>
      </c>
      <c r="AT10" s="59">
        <v>2388</v>
      </c>
      <c r="AU10" s="72">
        <v>9.4221105527638196E-2</v>
      </c>
      <c r="AV10" s="11">
        <v>355</v>
      </c>
      <c r="AW10" s="11">
        <v>2388</v>
      </c>
      <c r="AX10" s="17">
        <v>0.14865996649916247</v>
      </c>
      <c r="AY10" s="13">
        <f t="shared" si="5"/>
        <v>0.20134003350083751</v>
      </c>
      <c r="AZ10" s="56">
        <f t="shared" si="6"/>
        <v>480.79999999999995</v>
      </c>
      <c r="BA10" s="13">
        <f t="shared" ref="BA10:BA41" si="32">IFERROR(AY10*0.5,"-")</f>
        <v>0.10067001675041876</v>
      </c>
      <c r="BB10" s="56">
        <f t="shared" si="7"/>
        <v>240.39999999999998</v>
      </c>
      <c r="BC10" s="53">
        <f t="shared" si="8"/>
        <v>0.24932998324958122</v>
      </c>
      <c r="BD10" s="15">
        <f t="shared" ref="BD10:BD41" si="33">BE10*BC10</f>
        <v>595.4</v>
      </c>
      <c r="BE10" s="15">
        <v>2388</v>
      </c>
      <c r="BG10" s="79" t="s">
        <v>8</v>
      </c>
      <c r="BH10" s="79" t="s">
        <v>7</v>
      </c>
      <c r="BI10" s="67">
        <v>5</v>
      </c>
      <c r="BJ10" s="67">
        <v>260</v>
      </c>
      <c r="BK10" s="82">
        <f t="shared" ref="BK10:BK41" si="34">BI10/BJ10</f>
        <v>1.9230769230769232E-2</v>
      </c>
      <c r="BL10" s="59">
        <v>11</v>
      </c>
      <c r="BM10" s="83">
        <v>259.75</v>
      </c>
      <c r="BN10" s="84">
        <v>4.230769230769231E-2</v>
      </c>
      <c r="BO10" s="9">
        <v>19</v>
      </c>
      <c r="BP10" s="9">
        <v>260</v>
      </c>
      <c r="BQ10" s="10">
        <v>7.3076923076923081E-2</v>
      </c>
      <c r="BR10" s="13">
        <f t="shared" si="9"/>
        <v>3.692307692307692E-2</v>
      </c>
      <c r="BS10" s="56">
        <f t="shared" si="10"/>
        <v>9.6</v>
      </c>
      <c r="BT10" s="13">
        <f t="shared" ref="BT10:BT24" si="35">IFERROR(BR10*0.5,"-")</f>
        <v>1.846153846153846E-2</v>
      </c>
      <c r="BU10" s="56">
        <f t="shared" si="11"/>
        <v>4.8</v>
      </c>
      <c r="BV10" s="53">
        <f t="shared" si="12"/>
        <v>9.1538461538461541E-2</v>
      </c>
      <c r="BW10" s="15">
        <f t="shared" ref="BW10:BW41" si="36">BX10*BV10</f>
        <v>23.8</v>
      </c>
      <c r="BX10" s="15">
        <f t="shared" ref="BX10:BX41" si="37">BP10</f>
        <v>260</v>
      </c>
      <c r="BZ10" s="79" t="s">
        <v>8</v>
      </c>
      <c r="CA10" s="79" t="s">
        <v>7</v>
      </c>
      <c r="CB10" s="71">
        <v>487</v>
      </c>
      <c r="CC10" s="96">
        <v>2117.5</v>
      </c>
      <c r="CD10" s="82">
        <v>0.22998819362455727</v>
      </c>
      <c r="CE10" s="20">
        <v>289</v>
      </c>
      <c r="CF10" s="20">
        <v>2431.6109999999999</v>
      </c>
      <c r="CG10" s="18">
        <v>0.11885124717728289</v>
      </c>
      <c r="CH10" s="13">
        <f t="shared" si="13"/>
        <v>0.16114875282271712</v>
      </c>
      <c r="CI10" s="56">
        <f t="shared" si="14"/>
        <v>391.85107999999997</v>
      </c>
      <c r="CJ10" s="13">
        <f t="shared" ref="CJ10:CJ41" si="38">IFERROR(CH10*0.3,"-")</f>
        <v>4.8344625846815134E-2</v>
      </c>
      <c r="CK10" s="56">
        <f t="shared" si="15"/>
        <v>117.55532399999998</v>
      </c>
      <c r="CL10" s="14">
        <f t="shared" si="16"/>
        <v>0.16719587302409802</v>
      </c>
      <c r="CM10" s="15">
        <f t="shared" ref="CM10:CM41" si="39">CN10*CL10</f>
        <v>406.55532399999998</v>
      </c>
      <c r="CN10" s="15">
        <f t="shared" ref="CN10:CN41" si="40">CF10</f>
        <v>2431.6109999999999</v>
      </c>
      <c r="CP10" s="79" t="s">
        <v>8</v>
      </c>
      <c r="CQ10" s="79" t="s">
        <v>7</v>
      </c>
      <c r="CR10" s="16">
        <v>263</v>
      </c>
      <c r="CS10" s="16">
        <v>1470</v>
      </c>
      <c r="CT10" s="108">
        <v>0.17891156462585034</v>
      </c>
      <c r="CU10" s="8">
        <v>48</v>
      </c>
      <c r="CV10" s="8">
        <v>946</v>
      </c>
      <c r="CW10" s="18">
        <v>5.0739957716701901E-2</v>
      </c>
      <c r="CX10" s="13">
        <f t="shared" si="17"/>
        <v>0.8492600422832981</v>
      </c>
      <c r="CY10" s="13">
        <f t="shared" ref="CY10:CY41" si="41">IFERROR(CX10*0.5,"-")</f>
        <v>0.42463002114164905</v>
      </c>
      <c r="CZ10" s="14">
        <f t="shared" si="18"/>
        <v>0.47536997885835097</v>
      </c>
      <c r="DA10" s="15">
        <f t="shared" ref="DA10:DA24" si="42">DB10*CZ10</f>
        <v>449.70000000000005</v>
      </c>
      <c r="DB10" s="15">
        <f t="shared" ref="DB10:DB41" si="43">CV10</f>
        <v>946</v>
      </c>
      <c r="DD10" s="79" t="s">
        <v>8</v>
      </c>
      <c r="DE10" s="79" t="s">
        <v>7</v>
      </c>
      <c r="DF10" s="71">
        <v>1287</v>
      </c>
      <c r="DG10" s="96">
        <v>4032.3879999999999</v>
      </c>
      <c r="DH10" s="82">
        <v>0.31916571520399328</v>
      </c>
      <c r="DI10" s="8">
        <v>897</v>
      </c>
      <c r="DJ10" s="35">
        <v>5491.8490000000002</v>
      </c>
      <c r="DK10" s="18">
        <v>0.16333296855030063</v>
      </c>
      <c r="DL10" s="13">
        <f t="shared" si="19"/>
        <v>0.26666703144969939</v>
      </c>
      <c r="DM10" s="13">
        <f t="shared" ref="DM10:DM41" si="44">IFERROR(DL10*0.3,"-")</f>
        <v>8.0000109434909816E-2</v>
      </c>
      <c r="DN10" s="14">
        <f t="shared" si="20"/>
        <v>0.24333307798521045</v>
      </c>
      <c r="DO10" s="15">
        <f t="shared" ref="DO10:DO41" si="45">DP10*DN10</f>
        <v>1336.3485210000001</v>
      </c>
      <c r="DP10" s="15">
        <f t="shared" ref="DP10:DP41" si="46">DJ10</f>
        <v>5491.8490000000002</v>
      </c>
      <c r="DR10" s="79" t="s">
        <v>8</v>
      </c>
      <c r="DS10" s="79" t="s">
        <v>7</v>
      </c>
      <c r="DT10" s="71">
        <v>74</v>
      </c>
      <c r="DU10" s="71">
        <v>106</v>
      </c>
      <c r="DV10" s="82">
        <v>0.69811320754716977</v>
      </c>
      <c r="DW10" s="71">
        <v>57</v>
      </c>
      <c r="DX10" s="71">
        <v>73</v>
      </c>
      <c r="DY10" s="82">
        <v>0.78082191780821919</v>
      </c>
      <c r="DZ10" s="59">
        <v>68</v>
      </c>
      <c r="EA10" s="59">
        <v>98</v>
      </c>
      <c r="EB10" s="84">
        <v>0.69387755102040816</v>
      </c>
      <c r="EC10" s="9">
        <v>77</v>
      </c>
      <c r="ED10" s="9">
        <v>114</v>
      </c>
      <c r="EE10" s="19">
        <f t="shared" ref="EE10:EE41" si="47">EC10/ED10</f>
        <v>0.67543859649122806</v>
      </c>
      <c r="EF10" s="13" t="str">
        <f t="shared" si="21"/>
        <v>-</v>
      </c>
      <c r="EG10" s="13" t="str">
        <f t="shared" ref="EG10:EG41" si="48">IFERROR(EF10*0.15,"-")</f>
        <v>-</v>
      </c>
      <c r="EH10" s="52">
        <f t="shared" si="22"/>
        <v>0.67543859649122806</v>
      </c>
      <c r="EI10" s="15">
        <f t="shared" ref="EI10:EI41" si="49">EJ10*EH10</f>
        <v>77</v>
      </c>
      <c r="EJ10" s="15">
        <f t="shared" ref="EJ10:EJ41" si="50">ED10</f>
        <v>114</v>
      </c>
      <c r="EL10" s="71" t="s">
        <v>8</v>
      </c>
      <c r="EM10" s="71" t="s">
        <v>7</v>
      </c>
      <c r="EN10" s="12">
        <v>0.8</v>
      </c>
      <c r="EO10" s="13">
        <v>0.16666666666666666</v>
      </c>
      <c r="EP10" s="21">
        <f>EN10</f>
        <v>0.8</v>
      </c>
    </row>
    <row r="11" spans="2:148" s="16" customFormat="1" ht="15.75" x14ac:dyDescent="0.25">
      <c r="B11" s="79" t="s">
        <v>9</v>
      </c>
      <c r="C11" s="79" t="s">
        <v>7</v>
      </c>
      <c r="D11" s="67">
        <v>0</v>
      </c>
      <c r="E11" s="67">
        <v>4</v>
      </c>
      <c r="F11" s="60">
        <v>0</v>
      </c>
      <c r="G11" s="59">
        <v>2</v>
      </c>
      <c r="H11" s="59">
        <v>2</v>
      </c>
      <c r="I11" s="60">
        <v>1</v>
      </c>
      <c r="J11" s="59">
        <v>2</v>
      </c>
      <c r="K11" s="59">
        <v>3</v>
      </c>
      <c r="L11" s="60">
        <v>0.66666666666666663</v>
      </c>
      <c r="M11" s="11">
        <v>2</v>
      </c>
      <c r="N11" s="11">
        <v>4</v>
      </c>
      <c r="O11" s="10">
        <v>0.5</v>
      </c>
      <c r="P11" s="13">
        <f t="shared" si="0"/>
        <v>0.4</v>
      </c>
      <c r="Q11" s="56">
        <f t="shared" si="1"/>
        <v>1.6</v>
      </c>
      <c r="R11" s="13">
        <f t="shared" ref="R11:R41" si="51">IFERROR(P11*0.3,"-")</f>
        <v>0.12</v>
      </c>
      <c r="S11" s="56">
        <f t="shared" si="2"/>
        <v>0.48</v>
      </c>
      <c r="T11" s="14">
        <f t="shared" si="3"/>
        <v>0.62</v>
      </c>
      <c r="U11" s="15">
        <f t="shared" si="23"/>
        <v>2.48</v>
      </c>
      <c r="V11" s="15">
        <f t="shared" si="24"/>
        <v>4</v>
      </c>
      <c r="X11" s="79" t="s">
        <v>9</v>
      </c>
      <c r="Y11" s="79" t="s">
        <v>7</v>
      </c>
      <c r="Z11" s="67">
        <v>2898</v>
      </c>
      <c r="AA11" s="67">
        <v>3328</v>
      </c>
      <c r="AB11" s="99">
        <v>0.87079326923076927</v>
      </c>
      <c r="AC11" s="9">
        <v>2494</v>
      </c>
      <c r="AD11" s="9">
        <v>6790</v>
      </c>
      <c r="AE11" s="10">
        <f t="shared" si="25"/>
        <v>0.36730486008836527</v>
      </c>
      <c r="AF11" s="13">
        <f t="shared" si="4"/>
        <v>0.43269513991163477</v>
      </c>
      <c r="AG11" s="56">
        <f t="shared" si="26"/>
        <v>2938</v>
      </c>
      <c r="AH11" s="13">
        <f t="shared" si="27"/>
        <v>0.10817378497790869</v>
      </c>
      <c r="AI11" s="56">
        <f t="shared" si="28"/>
        <v>734.5</v>
      </c>
      <c r="AJ11" s="14">
        <f t="shared" si="29"/>
        <v>0.47547864506627396</v>
      </c>
      <c r="AK11" s="15">
        <f t="shared" si="30"/>
        <v>3228.5</v>
      </c>
      <c r="AL11" s="15">
        <f t="shared" si="31"/>
        <v>6790</v>
      </c>
      <c r="AN11" s="79" t="s">
        <v>9</v>
      </c>
      <c r="AO11" s="79" t="s">
        <v>7</v>
      </c>
      <c r="AP11" s="71">
        <v>194</v>
      </c>
      <c r="AQ11" s="71">
        <v>2299</v>
      </c>
      <c r="AR11" s="72">
        <v>8.438451500652458E-2</v>
      </c>
      <c r="AS11" s="59">
        <v>332</v>
      </c>
      <c r="AT11" s="59">
        <v>2299</v>
      </c>
      <c r="AU11" s="72">
        <v>0.14441061331013483</v>
      </c>
      <c r="AV11" s="11">
        <v>382</v>
      </c>
      <c r="AW11" s="11">
        <v>2299</v>
      </c>
      <c r="AX11" s="17">
        <v>0.16615919965202261</v>
      </c>
      <c r="AY11" s="13">
        <f t="shared" si="5"/>
        <v>0.18384080034797737</v>
      </c>
      <c r="AZ11" s="56">
        <f t="shared" si="6"/>
        <v>422.65</v>
      </c>
      <c r="BA11" s="13">
        <f t="shared" si="32"/>
        <v>9.1920400173988684E-2</v>
      </c>
      <c r="BB11" s="56">
        <f t="shared" si="7"/>
        <v>211.32499999999999</v>
      </c>
      <c r="BC11" s="53">
        <f t="shared" si="8"/>
        <v>0.25807959982601131</v>
      </c>
      <c r="BD11" s="15">
        <f t="shared" si="33"/>
        <v>593.32500000000005</v>
      </c>
      <c r="BE11" s="15">
        <v>2299</v>
      </c>
      <c r="BG11" s="79" t="s">
        <v>9</v>
      </c>
      <c r="BH11" s="79" t="s">
        <v>7</v>
      </c>
      <c r="BI11" s="67">
        <v>19</v>
      </c>
      <c r="BJ11" s="67">
        <v>255</v>
      </c>
      <c r="BK11" s="82">
        <f t="shared" si="34"/>
        <v>7.4509803921568626E-2</v>
      </c>
      <c r="BL11" s="59">
        <v>25</v>
      </c>
      <c r="BM11" s="83">
        <v>246.5</v>
      </c>
      <c r="BN11" s="84">
        <v>9.8039215686274508E-2</v>
      </c>
      <c r="BO11" s="9">
        <v>32</v>
      </c>
      <c r="BP11" s="9">
        <v>255</v>
      </c>
      <c r="BQ11" s="10">
        <v>0.12549019607843137</v>
      </c>
      <c r="BR11" s="13" t="str">
        <f t="shared" si="9"/>
        <v>-</v>
      </c>
      <c r="BS11" s="55" t="str">
        <f t="shared" si="10"/>
        <v>-</v>
      </c>
      <c r="BT11" s="13" t="str">
        <f t="shared" si="35"/>
        <v>-</v>
      </c>
      <c r="BU11" s="55" t="str">
        <f t="shared" si="11"/>
        <v>-</v>
      </c>
      <c r="BV11" s="52">
        <f t="shared" si="12"/>
        <v>0.12549019607843137</v>
      </c>
      <c r="BW11" s="15">
        <f t="shared" si="36"/>
        <v>32</v>
      </c>
      <c r="BX11" s="15">
        <f t="shared" si="37"/>
        <v>255</v>
      </c>
      <c r="BZ11" s="79" t="s">
        <v>9</v>
      </c>
      <c r="CA11" s="79" t="s">
        <v>7</v>
      </c>
      <c r="CB11" s="71">
        <v>442</v>
      </c>
      <c r="CC11" s="96">
        <v>2248.1999999999998</v>
      </c>
      <c r="CD11" s="82">
        <v>0.19660172582510455</v>
      </c>
      <c r="CE11" s="103">
        <v>442</v>
      </c>
      <c r="CF11" s="20">
        <v>2656.6350000000002</v>
      </c>
      <c r="CG11" s="18">
        <v>0.16637588528345068</v>
      </c>
      <c r="CH11" s="13">
        <f t="shared" si="13"/>
        <v>0.11362411471654935</v>
      </c>
      <c r="CI11" s="56">
        <f t="shared" si="14"/>
        <v>301.85780000000011</v>
      </c>
      <c r="CJ11" s="13">
        <f t="shared" si="38"/>
        <v>3.40872344149648E-2</v>
      </c>
      <c r="CK11" s="56">
        <f t="shared" si="15"/>
        <v>90.557340000000025</v>
      </c>
      <c r="CL11" s="14">
        <f t="shared" si="16"/>
        <v>0.20046311969841549</v>
      </c>
      <c r="CM11" s="15">
        <f t="shared" si="39"/>
        <v>532.55734000000007</v>
      </c>
      <c r="CN11" s="15">
        <f t="shared" si="40"/>
        <v>2656.6350000000002</v>
      </c>
      <c r="CP11" s="79" t="s">
        <v>9</v>
      </c>
      <c r="CQ11" s="79" t="s">
        <v>7</v>
      </c>
      <c r="CR11" s="16">
        <v>569</v>
      </c>
      <c r="CS11" s="16">
        <v>1768</v>
      </c>
      <c r="CT11" s="108">
        <v>0.32183257918552038</v>
      </c>
      <c r="CU11" s="8">
        <v>155</v>
      </c>
      <c r="CV11" s="8">
        <v>1768</v>
      </c>
      <c r="CW11" s="18">
        <v>8.7669683257918546E-2</v>
      </c>
      <c r="CX11" s="13">
        <f t="shared" si="17"/>
        <v>0.81233031674208145</v>
      </c>
      <c r="CY11" s="13">
        <f t="shared" si="41"/>
        <v>0.40616515837104072</v>
      </c>
      <c r="CZ11" s="14">
        <f t="shared" si="18"/>
        <v>0.4938348416289593</v>
      </c>
      <c r="DA11" s="15">
        <f t="shared" si="42"/>
        <v>873.1</v>
      </c>
      <c r="DB11" s="15">
        <f t="shared" si="43"/>
        <v>1768</v>
      </c>
      <c r="DD11" s="79" t="s">
        <v>9</v>
      </c>
      <c r="DE11" s="79" t="s">
        <v>7</v>
      </c>
      <c r="DF11" s="71">
        <v>2601</v>
      </c>
      <c r="DG11" s="96">
        <v>4369.3500000000004</v>
      </c>
      <c r="DH11" s="82">
        <v>0.59528305125476322</v>
      </c>
      <c r="DI11" s="102">
        <v>2601</v>
      </c>
      <c r="DJ11" s="35">
        <v>6012.0210000000006</v>
      </c>
      <c r="DK11" s="18">
        <v>0.43263321934504217</v>
      </c>
      <c r="DL11" s="13" t="str">
        <f t="shared" si="19"/>
        <v>-</v>
      </c>
      <c r="DM11" s="13" t="str">
        <f t="shared" si="44"/>
        <v>-</v>
      </c>
      <c r="DN11" s="52">
        <f t="shared" si="20"/>
        <v>0.43263321934504217</v>
      </c>
      <c r="DO11" s="15">
        <f t="shared" si="45"/>
        <v>2601</v>
      </c>
      <c r="DP11" s="15">
        <f t="shared" si="46"/>
        <v>6012.0210000000006</v>
      </c>
      <c r="DR11" s="79" t="s">
        <v>9</v>
      </c>
      <c r="DS11" s="79" t="s">
        <v>7</v>
      </c>
      <c r="DT11" s="71">
        <v>75</v>
      </c>
      <c r="DU11" s="71">
        <v>95</v>
      </c>
      <c r="DV11" s="82">
        <v>0.78947368421052633</v>
      </c>
      <c r="DW11" s="71">
        <v>42</v>
      </c>
      <c r="DX11" s="71">
        <v>57</v>
      </c>
      <c r="DY11" s="82">
        <v>0.73684210526315785</v>
      </c>
      <c r="DZ11" s="59">
        <v>51</v>
      </c>
      <c r="EA11" s="59">
        <v>73</v>
      </c>
      <c r="EB11" s="84">
        <v>0.69863013698630139</v>
      </c>
      <c r="EC11" s="9">
        <v>61</v>
      </c>
      <c r="ED11" s="9">
        <v>85</v>
      </c>
      <c r="EE11" s="19">
        <f t="shared" si="47"/>
        <v>0.71764705882352942</v>
      </c>
      <c r="EF11" s="13" t="str">
        <f t="shared" si="21"/>
        <v>-</v>
      </c>
      <c r="EG11" s="13" t="str">
        <f t="shared" si="48"/>
        <v>-</v>
      </c>
      <c r="EH11" s="52">
        <f t="shared" si="22"/>
        <v>0.71764705882352942</v>
      </c>
      <c r="EI11" s="15">
        <f t="shared" si="49"/>
        <v>61</v>
      </c>
      <c r="EJ11" s="15">
        <f t="shared" si="50"/>
        <v>85</v>
      </c>
      <c r="EL11" s="71" t="s">
        <v>9</v>
      </c>
      <c r="EM11" s="71" t="s">
        <v>7</v>
      </c>
      <c r="EN11" s="12">
        <v>0.8</v>
      </c>
      <c r="EO11" s="13">
        <v>9.0909090909090912E-2</v>
      </c>
      <c r="EP11" s="21">
        <f t="shared" ref="EP11:EP25" si="52">EN11</f>
        <v>0.8</v>
      </c>
    </row>
    <row r="12" spans="2:148" s="16" customFormat="1" ht="15.75" x14ac:dyDescent="0.25">
      <c r="B12" s="79" t="s">
        <v>10</v>
      </c>
      <c r="C12" s="79" t="s">
        <v>7</v>
      </c>
      <c r="D12" s="67">
        <v>0</v>
      </c>
      <c r="E12" s="67">
        <v>4</v>
      </c>
      <c r="F12" s="60">
        <v>0</v>
      </c>
      <c r="G12" s="59">
        <v>4</v>
      </c>
      <c r="H12" s="59">
        <v>4</v>
      </c>
      <c r="I12" s="60">
        <v>1</v>
      </c>
      <c r="J12" s="59">
        <v>4</v>
      </c>
      <c r="K12" s="59">
        <v>4</v>
      </c>
      <c r="L12" s="60">
        <v>1</v>
      </c>
      <c r="M12" s="11">
        <v>4</v>
      </c>
      <c r="N12" s="11">
        <v>5</v>
      </c>
      <c r="O12" s="10">
        <v>0.8</v>
      </c>
      <c r="P12" s="13">
        <f t="shared" si="0"/>
        <v>9.9999999999999978E-2</v>
      </c>
      <c r="Q12" s="56">
        <f t="shared" si="1"/>
        <v>0.49999999999999989</v>
      </c>
      <c r="R12" s="13">
        <f t="shared" si="51"/>
        <v>2.9999999999999992E-2</v>
      </c>
      <c r="S12" s="56">
        <f t="shared" si="2"/>
        <v>0.14999999999999997</v>
      </c>
      <c r="T12" s="14">
        <f t="shared" si="3"/>
        <v>0.83000000000000007</v>
      </c>
      <c r="U12" s="15">
        <f t="shared" si="23"/>
        <v>4.1500000000000004</v>
      </c>
      <c r="V12" s="15">
        <f t="shared" si="24"/>
        <v>5</v>
      </c>
      <c r="X12" s="79" t="s">
        <v>10</v>
      </c>
      <c r="Y12" s="79" t="s">
        <v>7</v>
      </c>
      <c r="Z12" s="67">
        <v>574</v>
      </c>
      <c r="AA12" s="67">
        <v>568</v>
      </c>
      <c r="AB12" s="99">
        <v>1.0105633802816902</v>
      </c>
      <c r="AC12" s="9">
        <v>505</v>
      </c>
      <c r="AD12" s="9">
        <v>956</v>
      </c>
      <c r="AE12" s="10">
        <f t="shared" si="25"/>
        <v>0.52824267782426781</v>
      </c>
      <c r="AF12" s="13">
        <f t="shared" si="4"/>
        <v>0.27175732217573223</v>
      </c>
      <c r="AG12" s="56">
        <f t="shared" si="26"/>
        <v>259.8</v>
      </c>
      <c r="AH12" s="13">
        <f t="shared" si="27"/>
        <v>6.7939330543933057E-2</v>
      </c>
      <c r="AI12" s="56">
        <f t="shared" si="28"/>
        <v>64.95</v>
      </c>
      <c r="AJ12" s="14">
        <f t="shared" si="29"/>
        <v>0.5961820083682009</v>
      </c>
      <c r="AK12" s="15">
        <f t="shared" si="30"/>
        <v>569.95000000000005</v>
      </c>
      <c r="AL12" s="15">
        <f t="shared" si="31"/>
        <v>956</v>
      </c>
      <c r="AN12" s="79" t="s">
        <v>10</v>
      </c>
      <c r="AO12" s="79" t="s">
        <v>7</v>
      </c>
      <c r="AP12" s="71">
        <v>97</v>
      </c>
      <c r="AQ12" s="71">
        <v>298</v>
      </c>
      <c r="AR12" s="72">
        <v>0.32550335570469796</v>
      </c>
      <c r="AS12" s="59">
        <v>107</v>
      </c>
      <c r="AT12" s="59">
        <v>298</v>
      </c>
      <c r="AU12" s="72">
        <v>0.35906040268456374</v>
      </c>
      <c r="AV12" s="11">
        <v>107</v>
      </c>
      <c r="AW12" s="11">
        <v>298</v>
      </c>
      <c r="AX12" s="17">
        <v>0.35906040268456374</v>
      </c>
      <c r="AY12" s="13" t="str">
        <f t="shared" si="5"/>
        <v>-</v>
      </c>
      <c r="AZ12" s="56" t="str">
        <f t="shared" si="6"/>
        <v>-</v>
      </c>
      <c r="BA12" s="13" t="str">
        <f t="shared" si="32"/>
        <v>-</v>
      </c>
      <c r="BB12" s="56" t="str">
        <f t="shared" si="7"/>
        <v>-</v>
      </c>
      <c r="BC12" s="52">
        <f t="shared" si="8"/>
        <v>0.35906040268456374</v>
      </c>
      <c r="BD12" s="15">
        <f t="shared" si="33"/>
        <v>107</v>
      </c>
      <c r="BE12" s="15">
        <v>298</v>
      </c>
      <c r="BG12" s="79" t="s">
        <v>10</v>
      </c>
      <c r="BH12" s="79" t="s">
        <v>7</v>
      </c>
      <c r="BI12" s="67">
        <v>5</v>
      </c>
      <c r="BJ12" s="67">
        <v>31</v>
      </c>
      <c r="BK12" s="82">
        <f t="shared" si="34"/>
        <v>0.16129032258064516</v>
      </c>
      <c r="BL12" s="59">
        <v>5</v>
      </c>
      <c r="BM12" s="83">
        <v>260.25</v>
      </c>
      <c r="BN12" s="84">
        <v>0.16129032258064516</v>
      </c>
      <c r="BO12" s="9">
        <v>5</v>
      </c>
      <c r="BP12" s="9">
        <v>31</v>
      </c>
      <c r="BQ12" s="10">
        <v>0.16129032258064516</v>
      </c>
      <c r="BR12" s="13" t="str">
        <f t="shared" si="9"/>
        <v>-</v>
      </c>
      <c r="BS12" s="55" t="str">
        <f t="shared" si="10"/>
        <v>-</v>
      </c>
      <c r="BT12" s="13" t="str">
        <f t="shared" si="35"/>
        <v>-</v>
      </c>
      <c r="BU12" s="55" t="str">
        <f t="shared" si="11"/>
        <v>-</v>
      </c>
      <c r="BV12" s="52">
        <f t="shared" si="12"/>
        <v>0.16129032258064516</v>
      </c>
      <c r="BW12" s="15">
        <f t="shared" si="36"/>
        <v>5</v>
      </c>
      <c r="BX12" s="15">
        <f t="shared" si="37"/>
        <v>31</v>
      </c>
      <c r="BZ12" s="79" t="s">
        <v>10</v>
      </c>
      <c r="CA12" s="79" t="s">
        <v>7</v>
      </c>
      <c r="CB12" s="71">
        <v>80</v>
      </c>
      <c r="CC12" s="96">
        <v>376.75</v>
      </c>
      <c r="CD12" s="82">
        <v>0.21234240212342403</v>
      </c>
      <c r="CE12" s="20">
        <v>146</v>
      </c>
      <c r="CF12" s="20">
        <v>461.54399999999998</v>
      </c>
      <c r="CG12" s="18">
        <v>0.31632953737888481</v>
      </c>
      <c r="CH12" s="13" t="str">
        <f t="shared" si="13"/>
        <v>-</v>
      </c>
      <c r="CI12" s="56" t="str">
        <f t="shared" si="14"/>
        <v>-</v>
      </c>
      <c r="CJ12" s="13" t="str">
        <f t="shared" si="38"/>
        <v>-</v>
      </c>
      <c r="CK12" s="56" t="str">
        <f t="shared" si="15"/>
        <v>-</v>
      </c>
      <c r="CL12" s="52">
        <f t="shared" si="16"/>
        <v>0.31632953737888481</v>
      </c>
      <c r="CM12" s="15">
        <f t="shared" si="39"/>
        <v>146</v>
      </c>
      <c r="CN12" s="15">
        <f t="shared" si="40"/>
        <v>461.54399999999998</v>
      </c>
      <c r="CP12" s="79" t="s">
        <v>10</v>
      </c>
      <c r="CQ12" s="79" t="s">
        <v>7</v>
      </c>
      <c r="CR12" s="16">
        <v>116</v>
      </c>
      <c r="CS12" s="16">
        <v>433</v>
      </c>
      <c r="CT12" s="108">
        <v>0.26789838337182448</v>
      </c>
      <c r="CU12" s="8">
        <v>165</v>
      </c>
      <c r="CV12" s="8">
        <v>456</v>
      </c>
      <c r="CW12" s="18">
        <v>0.36184210526315791</v>
      </c>
      <c r="CX12" s="13">
        <f t="shared" si="17"/>
        <v>0.53815789473684217</v>
      </c>
      <c r="CY12" s="13">
        <f t="shared" si="41"/>
        <v>0.26907894736842108</v>
      </c>
      <c r="CZ12" s="14">
        <f t="shared" si="18"/>
        <v>0.63092105263157894</v>
      </c>
      <c r="DA12" s="15">
        <f t="shared" si="42"/>
        <v>287.7</v>
      </c>
      <c r="DB12" s="15">
        <f t="shared" si="43"/>
        <v>456</v>
      </c>
      <c r="DD12" s="79" t="s">
        <v>10</v>
      </c>
      <c r="DE12" s="79" t="s">
        <v>7</v>
      </c>
      <c r="DF12" s="71">
        <v>498</v>
      </c>
      <c r="DG12" s="96">
        <v>749.56299999999987</v>
      </c>
      <c r="DH12" s="82">
        <v>0.66438711622638802</v>
      </c>
      <c r="DI12" s="8">
        <v>157</v>
      </c>
      <c r="DJ12" s="35">
        <v>1061.8510000000001</v>
      </c>
      <c r="DK12" s="18">
        <v>0.14785501920702621</v>
      </c>
      <c r="DL12" s="13">
        <f t="shared" si="19"/>
        <v>0.28214498079297379</v>
      </c>
      <c r="DM12" s="13">
        <f t="shared" si="44"/>
        <v>8.4643494237892136E-2</v>
      </c>
      <c r="DN12" s="14">
        <f t="shared" si="20"/>
        <v>0.23249851344491834</v>
      </c>
      <c r="DO12" s="15">
        <f t="shared" si="45"/>
        <v>246.87877900000001</v>
      </c>
      <c r="DP12" s="15">
        <f t="shared" si="46"/>
        <v>1061.8510000000001</v>
      </c>
      <c r="DR12" s="79" t="s">
        <v>10</v>
      </c>
      <c r="DS12" s="79" t="s">
        <v>7</v>
      </c>
      <c r="DT12" s="71">
        <v>4</v>
      </c>
      <c r="DU12" s="71">
        <v>7</v>
      </c>
      <c r="DV12" s="82">
        <v>0.5714285714285714</v>
      </c>
      <c r="DW12" s="71">
        <v>11</v>
      </c>
      <c r="DX12" s="71">
        <v>11</v>
      </c>
      <c r="DY12" s="82">
        <v>1</v>
      </c>
      <c r="DZ12" s="59">
        <v>13</v>
      </c>
      <c r="EA12" s="59">
        <v>13</v>
      </c>
      <c r="EB12" s="84">
        <v>1</v>
      </c>
      <c r="EC12" s="9">
        <v>16</v>
      </c>
      <c r="ED12" s="9">
        <v>16</v>
      </c>
      <c r="EE12" s="19">
        <f t="shared" si="47"/>
        <v>1</v>
      </c>
      <c r="EF12" s="13" t="str">
        <f t="shared" si="21"/>
        <v>-</v>
      </c>
      <c r="EG12" s="13" t="str">
        <f t="shared" si="48"/>
        <v>-</v>
      </c>
      <c r="EH12" s="52">
        <f t="shared" si="22"/>
        <v>1</v>
      </c>
      <c r="EI12" s="15">
        <f t="shared" si="49"/>
        <v>16</v>
      </c>
      <c r="EJ12" s="15">
        <f t="shared" si="50"/>
        <v>16</v>
      </c>
      <c r="EL12" s="71" t="s">
        <v>10</v>
      </c>
      <c r="EM12" s="71" t="s">
        <v>7</v>
      </c>
      <c r="EN12" s="12">
        <v>0.8</v>
      </c>
      <c r="EO12" s="13">
        <v>0.14285714285714285</v>
      </c>
      <c r="EP12" s="21">
        <f t="shared" si="52"/>
        <v>0.8</v>
      </c>
    </row>
    <row r="13" spans="2:148" s="16" customFormat="1" ht="15.75" x14ac:dyDescent="0.25">
      <c r="B13" s="79" t="s">
        <v>11</v>
      </c>
      <c r="C13" s="79" t="s">
        <v>7</v>
      </c>
      <c r="D13" s="67">
        <v>3</v>
      </c>
      <c r="E13" s="67">
        <v>16</v>
      </c>
      <c r="F13" s="60">
        <v>0.1875</v>
      </c>
      <c r="G13" s="59">
        <v>2</v>
      </c>
      <c r="H13" s="59">
        <v>2</v>
      </c>
      <c r="I13" s="60">
        <v>1</v>
      </c>
      <c r="J13" s="59">
        <v>2</v>
      </c>
      <c r="K13" s="59">
        <v>3</v>
      </c>
      <c r="L13" s="60">
        <v>0.66666666666666663</v>
      </c>
      <c r="M13" s="11">
        <v>2</v>
      </c>
      <c r="N13" s="11">
        <v>3</v>
      </c>
      <c r="O13" s="10">
        <v>0.66666666666666663</v>
      </c>
      <c r="P13" s="13">
        <f t="shared" si="0"/>
        <v>0.23333333333333339</v>
      </c>
      <c r="Q13" s="56">
        <f t="shared" si="1"/>
        <v>0.70000000000000018</v>
      </c>
      <c r="R13" s="13">
        <f t="shared" si="51"/>
        <v>7.0000000000000021E-2</v>
      </c>
      <c r="S13" s="56">
        <f t="shared" si="2"/>
        <v>0.21000000000000008</v>
      </c>
      <c r="T13" s="14">
        <f t="shared" si="3"/>
        <v>0.73666666666666669</v>
      </c>
      <c r="U13" s="15">
        <f t="shared" si="23"/>
        <v>2.21</v>
      </c>
      <c r="V13" s="15">
        <f t="shared" si="24"/>
        <v>3</v>
      </c>
      <c r="X13" s="79" t="s">
        <v>11</v>
      </c>
      <c r="Y13" s="79" t="s">
        <v>7</v>
      </c>
      <c r="Z13" s="67">
        <v>3512</v>
      </c>
      <c r="AA13" s="67">
        <v>3751</v>
      </c>
      <c r="AB13" s="99">
        <v>0.9362836576912823</v>
      </c>
      <c r="AC13" s="9">
        <v>3512</v>
      </c>
      <c r="AD13" s="9">
        <v>5911</v>
      </c>
      <c r="AE13" s="10">
        <f t="shared" si="25"/>
        <v>0.59414650651328027</v>
      </c>
      <c r="AF13" s="13">
        <f t="shared" si="4"/>
        <v>0.20585349348671977</v>
      </c>
      <c r="AG13" s="56">
        <f t="shared" si="26"/>
        <v>1216.8000000000006</v>
      </c>
      <c r="AH13" s="13">
        <f t="shared" si="27"/>
        <v>5.1463373371679944E-2</v>
      </c>
      <c r="AI13" s="56">
        <f t="shared" si="28"/>
        <v>304.20000000000016</v>
      </c>
      <c r="AJ13" s="14">
        <f t="shared" si="29"/>
        <v>0.64560987988496021</v>
      </c>
      <c r="AK13" s="15">
        <f t="shared" si="30"/>
        <v>3816.2</v>
      </c>
      <c r="AL13" s="15">
        <f t="shared" si="31"/>
        <v>5911</v>
      </c>
      <c r="AN13" s="79" t="s">
        <v>11</v>
      </c>
      <c r="AO13" s="79" t="s">
        <v>7</v>
      </c>
      <c r="AP13" s="71">
        <v>242</v>
      </c>
      <c r="AQ13" s="71">
        <v>2398</v>
      </c>
      <c r="AR13" s="72">
        <v>0.10091743119266056</v>
      </c>
      <c r="AS13" s="59">
        <v>458</v>
      </c>
      <c r="AT13" s="59">
        <v>2398</v>
      </c>
      <c r="AU13" s="72">
        <v>0.19099249374478733</v>
      </c>
      <c r="AV13" s="11">
        <v>569</v>
      </c>
      <c r="AW13" s="11">
        <v>2398</v>
      </c>
      <c r="AX13" s="17">
        <v>0.23728106755629691</v>
      </c>
      <c r="AY13" s="13">
        <f t="shared" si="5"/>
        <v>0.11271893244370307</v>
      </c>
      <c r="AZ13" s="56">
        <f t="shared" si="6"/>
        <v>270.29999999999995</v>
      </c>
      <c r="BA13" s="13">
        <f t="shared" si="32"/>
        <v>5.6359466221851534E-2</v>
      </c>
      <c r="BB13" s="56">
        <f t="shared" si="7"/>
        <v>135.14999999999998</v>
      </c>
      <c r="BC13" s="53">
        <f t="shared" si="8"/>
        <v>0.29364053377814847</v>
      </c>
      <c r="BD13" s="15">
        <f t="shared" si="33"/>
        <v>704.15000000000009</v>
      </c>
      <c r="BE13" s="15">
        <v>2398</v>
      </c>
      <c r="BG13" s="79" t="s">
        <v>11</v>
      </c>
      <c r="BH13" s="79" t="s">
        <v>7</v>
      </c>
      <c r="BI13" s="67">
        <v>30</v>
      </c>
      <c r="BJ13" s="67">
        <v>260</v>
      </c>
      <c r="BK13" s="82">
        <f t="shared" si="34"/>
        <v>0.11538461538461539</v>
      </c>
      <c r="BL13" s="59">
        <v>41</v>
      </c>
      <c r="BM13" s="83">
        <v>255</v>
      </c>
      <c r="BN13" s="84">
        <v>0.15769230769230769</v>
      </c>
      <c r="BO13" s="9">
        <v>46</v>
      </c>
      <c r="BP13" s="9">
        <v>260</v>
      </c>
      <c r="BQ13" s="10">
        <v>0.17692307692307693</v>
      </c>
      <c r="BR13" s="13" t="str">
        <f t="shared" si="9"/>
        <v>-</v>
      </c>
      <c r="BS13" s="55" t="str">
        <f t="shared" si="10"/>
        <v>-</v>
      </c>
      <c r="BT13" s="13" t="str">
        <f t="shared" si="35"/>
        <v>-</v>
      </c>
      <c r="BU13" s="55" t="str">
        <f t="shared" si="11"/>
        <v>-</v>
      </c>
      <c r="BV13" s="52">
        <f t="shared" si="12"/>
        <v>0.17692307692307693</v>
      </c>
      <c r="BW13" s="15">
        <f t="shared" si="36"/>
        <v>46</v>
      </c>
      <c r="BX13" s="15">
        <f t="shared" si="37"/>
        <v>260</v>
      </c>
      <c r="BZ13" s="79" t="s">
        <v>11</v>
      </c>
      <c r="CA13" s="79" t="s">
        <v>7</v>
      </c>
      <c r="CB13" s="71">
        <v>583</v>
      </c>
      <c r="CC13" s="96">
        <v>1749.8500000000001</v>
      </c>
      <c r="CD13" s="82">
        <v>0.33317141469268791</v>
      </c>
      <c r="CE13" s="20">
        <v>579</v>
      </c>
      <c r="CF13" s="20">
        <v>1880.364</v>
      </c>
      <c r="CG13" s="18">
        <v>0.30791910502434633</v>
      </c>
      <c r="CH13" s="13" t="str">
        <f t="shared" si="13"/>
        <v>-</v>
      </c>
      <c r="CI13" s="56" t="str">
        <f t="shared" si="14"/>
        <v>-</v>
      </c>
      <c r="CJ13" s="13" t="str">
        <f t="shared" si="38"/>
        <v>-</v>
      </c>
      <c r="CK13" s="56" t="str">
        <f t="shared" si="15"/>
        <v>-</v>
      </c>
      <c r="CL13" s="52">
        <f t="shared" si="16"/>
        <v>0.30791910502434633</v>
      </c>
      <c r="CM13" s="15">
        <f t="shared" si="39"/>
        <v>579</v>
      </c>
      <c r="CN13" s="15">
        <f t="shared" si="40"/>
        <v>1880.364</v>
      </c>
      <c r="CP13" s="79" t="s">
        <v>11</v>
      </c>
      <c r="CQ13" s="79" t="s">
        <v>7</v>
      </c>
      <c r="CR13" s="16">
        <v>599</v>
      </c>
      <c r="CS13" s="16">
        <v>1352</v>
      </c>
      <c r="CT13" s="108">
        <v>0.44304733727810652</v>
      </c>
      <c r="CU13" s="8">
        <v>698</v>
      </c>
      <c r="CV13" s="8">
        <v>1359</v>
      </c>
      <c r="CW13" s="18">
        <v>0.51361295069904345</v>
      </c>
      <c r="CX13" s="13">
        <f t="shared" si="17"/>
        <v>0.38638704930095658</v>
      </c>
      <c r="CY13" s="13">
        <f t="shared" si="41"/>
        <v>0.19319352465047829</v>
      </c>
      <c r="CZ13" s="14">
        <f t="shared" si="18"/>
        <v>0.70680647534952179</v>
      </c>
      <c r="DA13" s="15">
        <f t="shared" si="42"/>
        <v>960.55000000000007</v>
      </c>
      <c r="DB13" s="15">
        <f t="shared" si="43"/>
        <v>1359</v>
      </c>
      <c r="DD13" s="79" t="s">
        <v>11</v>
      </c>
      <c r="DE13" s="79" t="s">
        <v>7</v>
      </c>
      <c r="DF13" s="71">
        <v>2192</v>
      </c>
      <c r="DG13" s="96">
        <v>3151.8220000000001</v>
      </c>
      <c r="DH13" s="82">
        <v>0.69547074676171428</v>
      </c>
      <c r="DI13" s="8">
        <v>2183</v>
      </c>
      <c r="DJ13" s="35">
        <v>4184.6479999999992</v>
      </c>
      <c r="DK13" s="18">
        <v>0.52166872817020704</v>
      </c>
      <c r="DL13" s="13" t="str">
        <f t="shared" si="19"/>
        <v>-</v>
      </c>
      <c r="DM13" s="13" t="str">
        <f t="shared" si="44"/>
        <v>-</v>
      </c>
      <c r="DN13" s="52">
        <f t="shared" si="20"/>
        <v>0.52166872817020704</v>
      </c>
      <c r="DO13" s="15">
        <f t="shared" si="45"/>
        <v>2183</v>
      </c>
      <c r="DP13" s="15">
        <f t="shared" si="46"/>
        <v>4184.6479999999992</v>
      </c>
      <c r="DR13" s="79" t="s">
        <v>11</v>
      </c>
      <c r="DS13" s="79" t="s">
        <v>7</v>
      </c>
      <c r="DT13" s="71">
        <v>90</v>
      </c>
      <c r="DU13" s="71">
        <v>163</v>
      </c>
      <c r="DV13" s="82">
        <v>0.55214723926380371</v>
      </c>
      <c r="DW13" s="71">
        <v>45</v>
      </c>
      <c r="DX13" s="71">
        <v>72</v>
      </c>
      <c r="DY13" s="82">
        <v>0.625</v>
      </c>
      <c r="DZ13" s="59">
        <v>57</v>
      </c>
      <c r="EA13" s="59">
        <v>91</v>
      </c>
      <c r="EB13" s="84">
        <v>0.62637362637362637</v>
      </c>
      <c r="EC13" s="9">
        <v>64</v>
      </c>
      <c r="ED13" s="9">
        <v>100</v>
      </c>
      <c r="EE13" s="19">
        <f t="shared" si="47"/>
        <v>0.64</v>
      </c>
      <c r="EF13" s="13" t="str">
        <f t="shared" si="21"/>
        <v>-</v>
      </c>
      <c r="EG13" s="13" t="str">
        <f t="shared" si="48"/>
        <v>-</v>
      </c>
      <c r="EH13" s="52">
        <f t="shared" si="22"/>
        <v>0.64</v>
      </c>
      <c r="EI13" s="15">
        <f t="shared" si="49"/>
        <v>64</v>
      </c>
      <c r="EJ13" s="15">
        <f t="shared" si="50"/>
        <v>100</v>
      </c>
      <c r="EL13" s="71" t="s">
        <v>11</v>
      </c>
      <c r="EM13" s="71" t="s">
        <v>7</v>
      </c>
      <c r="EN13" s="12">
        <v>0.8</v>
      </c>
      <c r="EO13" s="13">
        <v>0.25</v>
      </c>
      <c r="EP13" s="21">
        <f t="shared" si="52"/>
        <v>0.8</v>
      </c>
    </row>
    <row r="14" spans="2:148" s="16" customFormat="1" ht="15.75" x14ac:dyDescent="0.25">
      <c r="B14" s="79" t="s">
        <v>12</v>
      </c>
      <c r="C14" s="79" t="s">
        <v>7</v>
      </c>
      <c r="D14" s="67">
        <v>0</v>
      </c>
      <c r="E14" s="67">
        <v>0</v>
      </c>
      <c r="F14" s="60">
        <v>1</v>
      </c>
      <c r="G14" s="59">
        <v>0</v>
      </c>
      <c r="H14" s="59">
        <v>0</v>
      </c>
      <c r="I14" s="60">
        <v>1</v>
      </c>
      <c r="J14" s="59">
        <v>0</v>
      </c>
      <c r="K14" s="59">
        <v>3</v>
      </c>
      <c r="L14" s="60">
        <v>0</v>
      </c>
      <c r="M14" s="11">
        <v>0</v>
      </c>
      <c r="N14" s="11">
        <v>3</v>
      </c>
      <c r="O14" s="10">
        <v>0</v>
      </c>
      <c r="P14" s="13">
        <f t="shared" si="0"/>
        <v>0.9</v>
      </c>
      <c r="Q14" s="56">
        <f t="shared" si="1"/>
        <v>2.7</v>
      </c>
      <c r="R14" s="13">
        <f t="shared" si="51"/>
        <v>0.27</v>
      </c>
      <c r="S14" s="56">
        <f t="shared" si="2"/>
        <v>0.81</v>
      </c>
      <c r="T14" s="14">
        <f t="shared" si="3"/>
        <v>0.27</v>
      </c>
      <c r="U14" s="15">
        <f t="shared" si="23"/>
        <v>0.81</v>
      </c>
      <c r="V14" s="15">
        <f t="shared" si="24"/>
        <v>3</v>
      </c>
      <c r="X14" s="79" t="s">
        <v>12</v>
      </c>
      <c r="Y14" s="79" t="s">
        <v>7</v>
      </c>
      <c r="Z14" s="67">
        <v>2014</v>
      </c>
      <c r="AA14" s="67">
        <v>2445</v>
      </c>
      <c r="AB14" s="99">
        <v>0.8237218813905931</v>
      </c>
      <c r="AC14" s="9">
        <v>2014</v>
      </c>
      <c r="AD14" s="9">
        <v>4309</v>
      </c>
      <c r="AE14" s="10">
        <f t="shared" si="25"/>
        <v>0.46739382687398467</v>
      </c>
      <c r="AF14" s="13">
        <f t="shared" si="4"/>
        <v>0.33260617312601537</v>
      </c>
      <c r="AG14" s="56">
        <f t="shared" si="26"/>
        <v>1433.2000000000003</v>
      </c>
      <c r="AH14" s="13">
        <f t="shared" si="27"/>
        <v>8.3151543281503842E-2</v>
      </c>
      <c r="AI14" s="56">
        <f t="shared" si="28"/>
        <v>358.30000000000007</v>
      </c>
      <c r="AJ14" s="14">
        <f t="shared" si="29"/>
        <v>0.55054537015548854</v>
      </c>
      <c r="AK14" s="15">
        <f t="shared" si="30"/>
        <v>2372.3000000000002</v>
      </c>
      <c r="AL14" s="15">
        <f t="shared" si="31"/>
        <v>4309</v>
      </c>
      <c r="AN14" s="79" t="s">
        <v>12</v>
      </c>
      <c r="AO14" s="79" t="s">
        <v>7</v>
      </c>
      <c r="AP14" s="71">
        <v>283</v>
      </c>
      <c r="AQ14" s="71">
        <v>1994</v>
      </c>
      <c r="AR14" s="72">
        <v>0.14192577733199599</v>
      </c>
      <c r="AS14" s="59">
        <v>439</v>
      </c>
      <c r="AT14" s="59">
        <v>1994</v>
      </c>
      <c r="AU14" s="72">
        <v>0.22016048144433301</v>
      </c>
      <c r="AV14" s="11">
        <v>510</v>
      </c>
      <c r="AW14" s="11">
        <v>1994</v>
      </c>
      <c r="AX14" s="17">
        <v>0.25576730190571717</v>
      </c>
      <c r="AY14" s="13">
        <f t="shared" si="5"/>
        <v>9.4232698094282807E-2</v>
      </c>
      <c r="AZ14" s="56">
        <f t="shared" si="6"/>
        <v>187.89999999999992</v>
      </c>
      <c r="BA14" s="13">
        <f t="shared" si="32"/>
        <v>4.7116349047141404E-2</v>
      </c>
      <c r="BB14" s="56">
        <f t="shared" si="7"/>
        <v>93.94999999999996</v>
      </c>
      <c r="BC14" s="53">
        <f t="shared" si="8"/>
        <v>0.30288365095285857</v>
      </c>
      <c r="BD14" s="15">
        <f t="shared" si="33"/>
        <v>603.95000000000005</v>
      </c>
      <c r="BE14" s="15">
        <v>1994</v>
      </c>
      <c r="BG14" s="79" t="s">
        <v>12</v>
      </c>
      <c r="BH14" s="79" t="s">
        <v>7</v>
      </c>
      <c r="BI14" s="67">
        <v>29</v>
      </c>
      <c r="BJ14" s="67">
        <v>247</v>
      </c>
      <c r="BK14" s="82">
        <f t="shared" si="34"/>
        <v>0.11740890688259109</v>
      </c>
      <c r="BL14" s="59">
        <v>33</v>
      </c>
      <c r="BM14" s="83">
        <v>30.5</v>
      </c>
      <c r="BN14" s="84">
        <v>0.13360323886639677</v>
      </c>
      <c r="BO14" s="9">
        <v>35</v>
      </c>
      <c r="BP14" s="9">
        <v>247</v>
      </c>
      <c r="BQ14" s="10">
        <v>0.1417004048582996</v>
      </c>
      <c r="BR14" s="13" t="str">
        <f t="shared" si="9"/>
        <v>-</v>
      </c>
      <c r="BS14" s="55" t="str">
        <f t="shared" si="10"/>
        <v>-</v>
      </c>
      <c r="BT14" s="13" t="str">
        <f t="shared" si="35"/>
        <v>-</v>
      </c>
      <c r="BU14" s="55" t="str">
        <f t="shared" si="11"/>
        <v>-</v>
      </c>
      <c r="BV14" s="52">
        <f t="shared" si="12"/>
        <v>0.1417004048582996</v>
      </c>
      <c r="BW14" s="15">
        <f t="shared" si="36"/>
        <v>35</v>
      </c>
      <c r="BX14" s="15">
        <f t="shared" si="37"/>
        <v>247</v>
      </c>
      <c r="BZ14" s="79" t="s">
        <v>12</v>
      </c>
      <c r="CA14" s="79" t="s">
        <v>7</v>
      </c>
      <c r="CB14" s="71">
        <v>240</v>
      </c>
      <c r="CC14" s="96">
        <v>1158.0500000000002</v>
      </c>
      <c r="CD14" s="82">
        <v>0.20724493761063853</v>
      </c>
      <c r="CE14" s="20">
        <v>210</v>
      </c>
      <c r="CF14" s="20">
        <v>1179.75</v>
      </c>
      <c r="CG14" s="18">
        <v>0.17800381436745072</v>
      </c>
      <c r="CH14" s="13">
        <f t="shared" si="13"/>
        <v>0.10199618563254931</v>
      </c>
      <c r="CI14" s="56">
        <f t="shared" si="14"/>
        <v>120.33000000000004</v>
      </c>
      <c r="CJ14" s="13">
        <f t="shared" si="38"/>
        <v>3.0598855689764792E-2</v>
      </c>
      <c r="CK14" s="56">
        <f t="shared" si="15"/>
        <v>36.099000000000011</v>
      </c>
      <c r="CL14" s="14">
        <f t="shared" si="16"/>
        <v>0.2086026700572155</v>
      </c>
      <c r="CM14" s="15">
        <f t="shared" si="39"/>
        <v>246.09899999999999</v>
      </c>
      <c r="CN14" s="15">
        <f t="shared" si="40"/>
        <v>1179.75</v>
      </c>
      <c r="CP14" s="79" t="s">
        <v>12</v>
      </c>
      <c r="CQ14" s="79" t="s">
        <v>7</v>
      </c>
      <c r="CR14" s="16">
        <v>331</v>
      </c>
      <c r="CS14" s="16">
        <v>855</v>
      </c>
      <c r="CT14" s="108">
        <v>0.38713450292397661</v>
      </c>
      <c r="CU14" s="8">
        <v>303</v>
      </c>
      <c r="CV14" s="8">
        <v>681</v>
      </c>
      <c r="CW14" s="18">
        <v>0.44493392070484583</v>
      </c>
      <c r="CX14" s="13">
        <f t="shared" si="17"/>
        <v>0.45506607929515419</v>
      </c>
      <c r="CY14" s="13">
        <f t="shared" si="41"/>
        <v>0.2275330396475771</v>
      </c>
      <c r="CZ14" s="14">
        <f t="shared" si="18"/>
        <v>0.67246696035242293</v>
      </c>
      <c r="DA14" s="15">
        <f t="shared" si="42"/>
        <v>457.95</v>
      </c>
      <c r="DB14" s="15">
        <f t="shared" si="43"/>
        <v>681</v>
      </c>
      <c r="DD14" s="79" t="s">
        <v>12</v>
      </c>
      <c r="DE14" s="79" t="s">
        <v>7</v>
      </c>
      <c r="DF14" s="71">
        <v>669</v>
      </c>
      <c r="DG14" s="96">
        <v>1998.7489999999998</v>
      </c>
      <c r="DH14" s="82">
        <v>0.33470936070512108</v>
      </c>
      <c r="DI14" s="8">
        <v>587</v>
      </c>
      <c r="DJ14" s="35">
        <v>2579.1179999999999</v>
      </c>
      <c r="DK14" s="18">
        <v>0.22759718632493744</v>
      </c>
      <c r="DL14" s="13">
        <f t="shared" si="19"/>
        <v>0.20240281367506255</v>
      </c>
      <c r="DM14" s="13">
        <f t="shared" si="44"/>
        <v>6.072084410251876E-2</v>
      </c>
      <c r="DN14" s="14">
        <f t="shared" si="20"/>
        <v>0.28831803042745618</v>
      </c>
      <c r="DO14" s="15">
        <f t="shared" si="45"/>
        <v>743.60622199999989</v>
      </c>
      <c r="DP14" s="15">
        <f t="shared" si="46"/>
        <v>2579.1179999999999</v>
      </c>
      <c r="DR14" s="79" t="s">
        <v>12</v>
      </c>
      <c r="DS14" s="79" t="s">
        <v>7</v>
      </c>
      <c r="DT14" s="71">
        <v>100</v>
      </c>
      <c r="DU14" s="71">
        <v>157</v>
      </c>
      <c r="DV14" s="82">
        <v>0.63694267515923564</v>
      </c>
      <c r="DW14" s="71">
        <v>54</v>
      </c>
      <c r="DX14" s="71">
        <v>80</v>
      </c>
      <c r="DY14" s="82">
        <v>0.67500000000000004</v>
      </c>
      <c r="DZ14" s="59">
        <v>81</v>
      </c>
      <c r="EA14" s="59">
        <v>113</v>
      </c>
      <c r="EB14" s="84">
        <v>0.7168141592920354</v>
      </c>
      <c r="EC14" s="9">
        <v>97</v>
      </c>
      <c r="ED14" s="9">
        <v>133</v>
      </c>
      <c r="EE14" s="19">
        <f t="shared" si="47"/>
        <v>0.72932330827067671</v>
      </c>
      <c r="EF14" s="13" t="str">
        <f t="shared" si="21"/>
        <v>-</v>
      </c>
      <c r="EG14" s="13" t="str">
        <f t="shared" si="48"/>
        <v>-</v>
      </c>
      <c r="EH14" s="52">
        <f t="shared" si="22"/>
        <v>0.72932330827067671</v>
      </c>
      <c r="EI14" s="15">
        <f t="shared" si="49"/>
        <v>97</v>
      </c>
      <c r="EJ14" s="15">
        <f t="shared" si="50"/>
        <v>133</v>
      </c>
      <c r="EL14" s="71" t="s">
        <v>12</v>
      </c>
      <c r="EM14" s="71" t="s">
        <v>7</v>
      </c>
      <c r="EN14" s="12">
        <v>0.8</v>
      </c>
      <c r="EO14" s="13">
        <v>0.25</v>
      </c>
      <c r="EP14" s="21">
        <f t="shared" si="52"/>
        <v>0.8</v>
      </c>
    </row>
    <row r="15" spans="2:148" s="16" customFormat="1" ht="15.75" x14ac:dyDescent="0.25">
      <c r="B15" s="79" t="s">
        <v>13</v>
      </c>
      <c r="C15" s="79" t="s">
        <v>7</v>
      </c>
      <c r="D15" s="67">
        <v>1</v>
      </c>
      <c r="E15" s="67">
        <v>1</v>
      </c>
      <c r="F15" s="60">
        <v>1</v>
      </c>
      <c r="G15" s="59">
        <v>0</v>
      </c>
      <c r="H15" s="59">
        <v>1</v>
      </c>
      <c r="I15" s="60">
        <v>0</v>
      </c>
      <c r="J15" s="59">
        <v>0</v>
      </c>
      <c r="K15" s="59">
        <v>2</v>
      </c>
      <c r="L15" s="60">
        <v>0</v>
      </c>
      <c r="M15" s="11">
        <v>2</v>
      </c>
      <c r="N15" s="11">
        <v>4</v>
      </c>
      <c r="O15" s="10">
        <v>0.5</v>
      </c>
      <c r="P15" s="13">
        <f t="shared" si="0"/>
        <v>0.4</v>
      </c>
      <c r="Q15" s="56">
        <f t="shared" si="1"/>
        <v>1.6</v>
      </c>
      <c r="R15" s="12">
        <f t="shared" si="51"/>
        <v>0.12</v>
      </c>
      <c r="S15" s="56">
        <f t="shared" si="2"/>
        <v>0.48</v>
      </c>
      <c r="T15" s="14">
        <f t="shared" si="3"/>
        <v>0.62</v>
      </c>
      <c r="U15" s="15">
        <f t="shared" si="23"/>
        <v>2.48</v>
      </c>
      <c r="V15" s="15">
        <f t="shared" si="24"/>
        <v>4</v>
      </c>
      <c r="X15" s="79" t="s">
        <v>13</v>
      </c>
      <c r="Y15" s="79" t="s">
        <v>7</v>
      </c>
      <c r="Z15" s="67">
        <v>2829</v>
      </c>
      <c r="AA15" s="67">
        <v>3541</v>
      </c>
      <c r="AB15" s="99">
        <v>0.79892685682010733</v>
      </c>
      <c r="AC15" s="9">
        <v>2829</v>
      </c>
      <c r="AD15" s="9">
        <v>5812</v>
      </c>
      <c r="AE15" s="10">
        <f t="shared" si="25"/>
        <v>0.48675154852030283</v>
      </c>
      <c r="AF15" s="13">
        <f t="shared" si="4"/>
        <v>0.31324845147969721</v>
      </c>
      <c r="AG15" s="56">
        <f t="shared" si="26"/>
        <v>1820.6000000000001</v>
      </c>
      <c r="AH15" s="13">
        <f t="shared" si="27"/>
        <v>7.8312112869924302E-2</v>
      </c>
      <c r="AI15" s="56">
        <f t="shared" si="28"/>
        <v>455.15000000000003</v>
      </c>
      <c r="AJ15" s="14">
        <f t="shared" si="29"/>
        <v>0.56506366139022712</v>
      </c>
      <c r="AK15" s="15">
        <f t="shared" si="30"/>
        <v>3284.15</v>
      </c>
      <c r="AL15" s="15">
        <f t="shared" si="31"/>
        <v>5812</v>
      </c>
      <c r="AN15" s="79" t="s">
        <v>13</v>
      </c>
      <c r="AO15" s="79" t="s">
        <v>7</v>
      </c>
      <c r="AP15" s="71">
        <v>212</v>
      </c>
      <c r="AQ15" s="71">
        <v>2439</v>
      </c>
      <c r="AR15" s="72">
        <v>8.6920869208692089E-2</v>
      </c>
      <c r="AS15" s="59">
        <v>299</v>
      </c>
      <c r="AT15" s="59">
        <v>2439</v>
      </c>
      <c r="AU15" s="72">
        <v>0.12259122591225913</v>
      </c>
      <c r="AV15" s="11">
        <v>344</v>
      </c>
      <c r="AW15" s="11">
        <v>2439</v>
      </c>
      <c r="AX15" s="17">
        <v>0.14104141041410415</v>
      </c>
      <c r="AY15" s="13">
        <f t="shared" si="5"/>
        <v>0.20895858958589583</v>
      </c>
      <c r="AZ15" s="56">
        <f t="shared" si="6"/>
        <v>509.64999999999992</v>
      </c>
      <c r="BA15" s="13">
        <f t="shared" si="32"/>
        <v>0.10447929479294792</v>
      </c>
      <c r="BB15" s="56">
        <f t="shared" si="7"/>
        <v>254.82499999999996</v>
      </c>
      <c r="BC15" s="53">
        <f t="shared" si="8"/>
        <v>0.24552070520705205</v>
      </c>
      <c r="BD15" s="15">
        <f t="shared" si="33"/>
        <v>598.82499999999993</v>
      </c>
      <c r="BE15" s="15">
        <v>2439</v>
      </c>
      <c r="BG15" s="79" t="s">
        <v>13</v>
      </c>
      <c r="BH15" s="79" t="s">
        <v>7</v>
      </c>
      <c r="BI15" s="67">
        <v>2</v>
      </c>
      <c r="BJ15" s="67">
        <v>277</v>
      </c>
      <c r="BK15" s="82">
        <f t="shared" si="34"/>
        <v>7.2202166064981952E-3</v>
      </c>
      <c r="BL15" s="59">
        <v>2</v>
      </c>
      <c r="BM15" s="83">
        <v>453.5</v>
      </c>
      <c r="BN15" s="84">
        <v>7.2202166064981952E-3</v>
      </c>
      <c r="BO15" s="9">
        <v>2</v>
      </c>
      <c r="BP15" s="9">
        <v>277</v>
      </c>
      <c r="BQ15" s="10">
        <v>7.2202166064981952E-3</v>
      </c>
      <c r="BR15" s="13">
        <f t="shared" si="9"/>
        <v>0.1027797833935018</v>
      </c>
      <c r="BS15" s="56">
        <f t="shared" si="10"/>
        <v>28.47</v>
      </c>
      <c r="BT15" s="13">
        <f t="shared" si="35"/>
        <v>5.13898916967509E-2</v>
      </c>
      <c r="BU15" s="56">
        <f t="shared" si="11"/>
        <v>14.234999999999999</v>
      </c>
      <c r="BV15" s="53">
        <f t="shared" si="12"/>
        <v>5.8610108303249094E-2</v>
      </c>
      <c r="BW15" s="15">
        <f t="shared" si="36"/>
        <v>16.234999999999999</v>
      </c>
      <c r="BX15" s="15">
        <f t="shared" si="37"/>
        <v>277</v>
      </c>
      <c r="BZ15" s="79" t="s">
        <v>13</v>
      </c>
      <c r="CA15" s="79" t="s">
        <v>7</v>
      </c>
      <c r="CB15" s="71">
        <v>493</v>
      </c>
      <c r="CC15" s="96">
        <v>1979.5500000000002</v>
      </c>
      <c r="CD15" s="82">
        <v>0.24904650046727789</v>
      </c>
      <c r="CE15" s="20">
        <v>608</v>
      </c>
      <c r="CF15" s="20">
        <v>2171.1</v>
      </c>
      <c r="CG15" s="18">
        <v>0.28004237483303396</v>
      </c>
      <c r="CH15" s="13" t="str">
        <f t="shared" si="13"/>
        <v>-</v>
      </c>
      <c r="CI15" s="56" t="str">
        <f t="shared" si="14"/>
        <v>-</v>
      </c>
      <c r="CJ15" s="13" t="str">
        <f t="shared" si="38"/>
        <v>-</v>
      </c>
      <c r="CK15" s="56" t="str">
        <f t="shared" si="15"/>
        <v>-</v>
      </c>
      <c r="CL15" s="52">
        <f t="shared" si="16"/>
        <v>0.28004237483303396</v>
      </c>
      <c r="CM15" s="15">
        <f t="shared" si="39"/>
        <v>608</v>
      </c>
      <c r="CN15" s="15">
        <f t="shared" si="40"/>
        <v>2171.1</v>
      </c>
      <c r="CP15" s="79" t="s">
        <v>13</v>
      </c>
      <c r="CQ15" s="79" t="s">
        <v>7</v>
      </c>
      <c r="CR15" s="16">
        <v>465</v>
      </c>
      <c r="CS15" s="16">
        <v>1200</v>
      </c>
      <c r="CT15" s="108">
        <v>0.38750000000000001</v>
      </c>
      <c r="CU15" s="8">
        <v>854</v>
      </c>
      <c r="CV15" s="8">
        <v>1329</v>
      </c>
      <c r="CW15" s="18">
        <v>0.64258841234010533</v>
      </c>
      <c r="CX15" s="13">
        <f t="shared" si="17"/>
        <v>0.25741158765989469</v>
      </c>
      <c r="CY15" s="13">
        <f t="shared" si="41"/>
        <v>0.12870579382994735</v>
      </c>
      <c r="CZ15" s="14">
        <f t="shared" si="18"/>
        <v>0.77129420617005273</v>
      </c>
      <c r="DA15" s="15">
        <f t="shared" si="42"/>
        <v>1025.0500000000002</v>
      </c>
      <c r="DB15" s="15">
        <f t="shared" si="43"/>
        <v>1329</v>
      </c>
      <c r="DD15" s="79" t="s">
        <v>13</v>
      </c>
      <c r="DE15" s="79" t="s">
        <v>7</v>
      </c>
      <c r="DF15" s="71">
        <v>1749</v>
      </c>
      <c r="DG15" s="96">
        <v>3732.8909999999996</v>
      </c>
      <c r="DH15" s="82">
        <v>0.46853765620265908</v>
      </c>
      <c r="DI15" s="8">
        <v>1826</v>
      </c>
      <c r="DJ15" s="35">
        <v>4893.3239999999996</v>
      </c>
      <c r="DK15" s="18">
        <v>0.3731614746949109</v>
      </c>
      <c r="DL15" s="13">
        <f t="shared" si="19"/>
        <v>5.6838525305089094E-2</v>
      </c>
      <c r="DM15" s="13">
        <f t="shared" si="44"/>
        <v>1.7051557591526729E-2</v>
      </c>
      <c r="DN15" s="14">
        <f t="shared" si="20"/>
        <v>0.39021303228643761</v>
      </c>
      <c r="DO15" s="15">
        <f t="shared" si="45"/>
        <v>1909.4387959999999</v>
      </c>
      <c r="DP15" s="15">
        <f t="shared" si="46"/>
        <v>4893.3239999999996</v>
      </c>
      <c r="DR15" s="79" t="s">
        <v>13</v>
      </c>
      <c r="DS15" s="79" t="s">
        <v>7</v>
      </c>
      <c r="DT15" s="71">
        <v>99</v>
      </c>
      <c r="DU15" s="71">
        <v>151</v>
      </c>
      <c r="DV15" s="82">
        <v>0.6556291390728477</v>
      </c>
      <c r="DW15" s="71">
        <v>52</v>
      </c>
      <c r="DX15" s="71">
        <v>72</v>
      </c>
      <c r="DY15" s="82">
        <v>0.72222222222222221</v>
      </c>
      <c r="DZ15" s="59">
        <v>63</v>
      </c>
      <c r="EA15" s="59">
        <v>88</v>
      </c>
      <c r="EB15" s="84">
        <v>0.71590909090909094</v>
      </c>
      <c r="EC15" s="9">
        <v>69</v>
      </c>
      <c r="ED15" s="9">
        <v>98</v>
      </c>
      <c r="EE15" s="19">
        <f t="shared" si="47"/>
        <v>0.70408163265306123</v>
      </c>
      <c r="EF15" s="13" t="str">
        <f t="shared" si="21"/>
        <v>-</v>
      </c>
      <c r="EG15" s="13" t="str">
        <f t="shared" si="48"/>
        <v>-</v>
      </c>
      <c r="EH15" s="52">
        <f t="shared" si="22"/>
        <v>0.70408163265306123</v>
      </c>
      <c r="EI15" s="15">
        <f t="shared" si="49"/>
        <v>69</v>
      </c>
      <c r="EJ15" s="15">
        <f t="shared" si="50"/>
        <v>98</v>
      </c>
      <c r="EL15" s="71" t="s">
        <v>13</v>
      </c>
      <c r="EM15" s="71" t="s">
        <v>7</v>
      </c>
      <c r="EN15" s="12">
        <v>0.8</v>
      </c>
      <c r="EO15" s="13">
        <v>0.25</v>
      </c>
      <c r="EP15" s="21">
        <f t="shared" si="52"/>
        <v>0.8</v>
      </c>
    </row>
    <row r="16" spans="2:148" s="16" customFormat="1" ht="15.75" x14ac:dyDescent="0.25">
      <c r="B16" s="79" t="s">
        <v>14</v>
      </c>
      <c r="C16" s="79" t="s">
        <v>7</v>
      </c>
      <c r="D16" s="67">
        <v>0</v>
      </c>
      <c r="E16" s="67">
        <v>1</v>
      </c>
      <c r="F16" s="60">
        <v>0</v>
      </c>
      <c r="G16" s="59">
        <v>0</v>
      </c>
      <c r="H16" s="59">
        <v>1</v>
      </c>
      <c r="I16" s="60">
        <v>0</v>
      </c>
      <c r="J16" s="59">
        <v>1</v>
      </c>
      <c r="K16" s="59">
        <v>4</v>
      </c>
      <c r="L16" s="60">
        <v>0.25</v>
      </c>
      <c r="M16" s="11">
        <v>1</v>
      </c>
      <c r="N16" s="11">
        <v>4</v>
      </c>
      <c r="O16" s="10">
        <v>0.25</v>
      </c>
      <c r="P16" s="13">
        <f t="shared" si="0"/>
        <v>0.65</v>
      </c>
      <c r="Q16" s="56">
        <f t="shared" si="1"/>
        <v>2.6</v>
      </c>
      <c r="R16" s="12">
        <f t="shared" si="51"/>
        <v>0.19500000000000001</v>
      </c>
      <c r="S16" s="56">
        <f t="shared" si="2"/>
        <v>0.78</v>
      </c>
      <c r="T16" s="14">
        <f t="shared" si="3"/>
        <v>0.44500000000000001</v>
      </c>
      <c r="U16" s="15">
        <f t="shared" si="23"/>
        <v>1.78</v>
      </c>
      <c r="V16" s="15">
        <f t="shared" si="24"/>
        <v>4</v>
      </c>
      <c r="X16" s="79" t="s">
        <v>14</v>
      </c>
      <c r="Y16" s="79" t="s">
        <v>7</v>
      </c>
      <c r="Z16" s="67">
        <v>1564</v>
      </c>
      <c r="AA16" s="67">
        <v>1808</v>
      </c>
      <c r="AB16" s="99">
        <v>0.86504424778761058</v>
      </c>
      <c r="AC16" s="9">
        <v>1453</v>
      </c>
      <c r="AD16" s="9">
        <v>3655</v>
      </c>
      <c r="AE16" s="10">
        <f t="shared" si="25"/>
        <v>0.39753761969904239</v>
      </c>
      <c r="AF16" s="13">
        <f t="shared" si="4"/>
        <v>0.40246238030095766</v>
      </c>
      <c r="AG16" s="56">
        <f t="shared" si="26"/>
        <v>1471.0000000000002</v>
      </c>
      <c r="AH16" s="13">
        <f t="shared" si="27"/>
        <v>0.10061559507523941</v>
      </c>
      <c r="AI16" s="56">
        <f t="shared" si="28"/>
        <v>367.75000000000006</v>
      </c>
      <c r="AJ16" s="14">
        <f t="shared" si="29"/>
        <v>0.49815321477428182</v>
      </c>
      <c r="AK16" s="15">
        <f t="shared" si="30"/>
        <v>1820.75</v>
      </c>
      <c r="AL16" s="15">
        <f t="shared" si="31"/>
        <v>3655</v>
      </c>
      <c r="AN16" s="79" t="s">
        <v>14</v>
      </c>
      <c r="AO16" s="79" t="s">
        <v>7</v>
      </c>
      <c r="AP16" s="71">
        <v>323</v>
      </c>
      <c r="AQ16" s="71">
        <v>1559</v>
      </c>
      <c r="AR16" s="72">
        <v>0.20718409236690186</v>
      </c>
      <c r="AS16" s="59">
        <v>435</v>
      </c>
      <c r="AT16" s="59">
        <v>1559</v>
      </c>
      <c r="AU16" s="72">
        <v>0.27902501603592045</v>
      </c>
      <c r="AV16" s="11">
        <v>481</v>
      </c>
      <c r="AW16" s="11">
        <v>1559</v>
      </c>
      <c r="AX16" s="17">
        <v>0.30853110968569597</v>
      </c>
      <c r="AY16" s="13">
        <f t="shared" si="5"/>
        <v>4.1468890314304008E-2</v>
      </c>
      <c r="AZ16" s="56">
        <f t="shared" si="6"/>
        <v>64.649999999999949</v>
      </c>
      <c r="BA16" s="13">
        <f t="shared" si="32"/>
        <v>2.0734445157152004E-2</v>
      </c>
      <c r="BB16" s="56">
        <f t="shared" si="7"/>
        <v>32.324999999999974</v>
      </c>
      <c r="BC16" s="53">
        <f t="shared" si="8"/>
        <v>0.32926555484284797</v>
      </c>
      <c r="BD16" s="15">
        <f t="shared" si="33"/>
        <v>513.32500000000005</v>
      </c>
      <c r="BE16" s="15">
        <v>1559</v>
      </c>
      <c r="BG16" s="79" t="s">
        <v>14</v>
      </c>
      <c r="BH16" s="79" t="s">
        <v>7</v>
      </c>
      <c r="BI16" s="67">
        <v>7</v>
      </c>
      <c r="BJ16" s="67">
        <v>177</v>
      </c>
      <c r="BK16" s="82">
        <f t="shared" si="34"/>
        <v>3.954802259887006E-2</v>
      </c>
      <c r="BL16" s="59">
        <v>9</v>
      </c>
      <c r="BM16" s="83">
        <v>276.5</v>
      </c>
      <c r="BN16" s="84">
        <v>5.0847457627118647E-2</v>
      </c>
      <c r="BO16" s="9">
        <v>11</v>
      </c>
      <c r="BP16" s="9">
        <v>177</v>
      </c>
      <c r="BQ16" s="10">
        <v>6.2146892655367235E-2</v>
      </c>
      <c r="BR16" s="13">
        <f t="shared" si="9"/>
        <v>4.7853107344632766E-2</v>
      </c>
      <c r="BS16" s="56">
        <f t="shared" si="10"/>
        <v>8.4699999999999989</v>
      </c>
      <c r="BT16" s="13">
        <f t="shared" si="35"/>
        <v>2.3926553672316383E-2</v>
      </c>
      <c r="BU16" s="56">
        <f t="shared" si="11"/>
        <v>4.2349999999999994</v>
      </c>
      <c r="BV16" s="53">
        <f t="shared" si="12"/>
        <v>8.6073446327683614E-2</v>
      </c>
      <c r="BW16" s="15">
        <f t="shared" si="36"/>
        <v>15.234999999999999</v>
      </c>
      <c r="BX16" s="15">
        <f t="shared" si="37"/>
        <v>177</v>
      </c>
      <c r="BZ16" s="79" t="s">
        <v>14</v>
      </c>
      <c r="CA16" s="79" t="s">
        <v>7</v>
      </c>
      <c r="CB16" s="71">
        <v>305</v>
      </c>
      <c r="CC16" s="96">
        <v>1029.95</v>
      </c>
      <c r="CD16" s="82">
        <v>0.29613088013981259</v>
      </c>
      <c r="CE16" s="20">
        <v>308</v>
      </c>
      <c r="CF16" s="20">
        <v>1109.7449999999999</v>
      </c>
      <c r="CG16" s="18">
        <v>0.27754123695083105</v>
      </c>
      <c r="CH16" s="13">
        <f t="shared" si="13"/>
        <v>2.4587630491689771E-3</v>
      </c>
      <c r="CI16" s="56">
        <f t="shared" si="14"/>
        <v>2.7286000000000263</v>
      </c>
      <c r="CJ16" s="13">
        <f t="shared" si="38"/>
        <v>7.376289147506931E-4</v>
      </c>
      <c r="CK16" s="56">
        <f t="shared" si="15"/>
        <v>0.81858000000000786</v>
      </c>
      <c r="CL16" s="14">
        <f t="shared" si="16"/>
        <v>0.27827886586558176</v>
      </c>
      <c r="CM16" s="15">
        <f t="shared" si="39"/>
        <v>308.81858</v>
      </c>
      <c r="CN16" s="15">
        <f t="shared" si="40"/>
        <v>1109.7449999999999</v>
      </c>
      <c r="CP16" s="79" t="s">
        <v>14</v>
      </c>
      <c r="CQ16" s="79" t="s">
        <v>7</v>
      </c>
      <c r="CR16" s="16">
        <v>341</v>
      </c>
      <c r="CS16" s="16">
        <v>726</v>
      </c>
      <c r="CT16" s="108">
        <v>0.46969696969696972</v>
      </c>
      <c r="CU16" s="8">
        <v>566</v>
      </c>
      <c r="CV16" s="8">
        <v>638</v>
      </c>
      <c r="CW16" s="18">
        <v>0.88714733542319746</v>
      </c>
      <c r="CX16" s="13">
        <f t="shared" si="17"/>
        <v>1.2852664576802564E-2</v>
      </c>
      <c r="CY16" s="13">
        <f t="shared" si="41"/>
        <v>6.4263322884012819E-3</v>
      </c>
      <c r="CZ16" s="14">
        <f t="shared" si="18"/>
        <v>0.89357366771159874</v>
      </c>
      <c r="DA16" s="15">
        <f t="shared" si="42"/>
        <v>570.1</v>
      </c>
      <c r="DB16" s="15">
        <f t="shared" si="43"/>
        <v>638</v>
      </c>
      <c r="DD16" s="79" t="s">
        <v>14</v>
      </c>
      <c r="DE16" s="79" t="s">
        <v>7</v>
      </c>
      <c r="DF16" s="71">
        <v>703</v>
      </c>
      <c r="DG16" s="96">
        <v>1861.76</v>
      </c>
      <c r="DH16" s="82">
        <v>0.37759969061533172</v>
      </c>
      <c r="DI16" s="8">
        <v>695</v>
      </c>
      <c r="DJ16" s="35">
        <v>2478.7080000000001</v>
      </c>
      <c r="DK16" s="18">
        <v>0.2803880085915727</v>
      </c>
      <c r="DL16" s="13">
        <f t="shared" si="19"/>
        <v>0.14961199140842729</v>
      </c>
      <c r="DM16" s="13">
        <f t="shared" si="44"/>
        <v>4.4883597422528183E-2</v>
      </c>
      <c r="DN16" s="14">
        <f t="shared" si="20"/>
        <v>0.32527160601410088</v>
      </c>
      <c r="DO16" s="15">
        <f t="shared" si="45"/>
        <v>806.253332</v>
      </c>
      <c r="DP16" s="15">
        <f t="shared" si="46"/>
        <v>2478.7080000000001</v>
      </c>
      <c r="DR16" s="79" t="s">
        <v>14</v>
      </c>
      <c r="DS16" s="79" t="s">
        <v>7</v>
      </c>
      <c r="DT16" s="71">
        <v>39</v>
      </c>
      <c r="DU16" s="71">
        <v>87</v>
      </c>
      <c r="DV16" s="82">
        <v>0.44827586206896552</v>
      </c>
      <c r="DW16" s="71">
        <v>26</v>
      </c>
      <c r="DX16" s="71">
        <v>48</v>
      </c>
      <c r="DY16" s="82">
        <v>0.54166666666666663</v>
      </c>
      <c r="DZ16" s="59">
        <v>32</v>
      </c>
      <c r="EA16" s="59">
        <v>63</v>
      </c>
      <c r="EB16" s="84">
        <v>0.50793650793650791</v>
      </c>
      <c r="EC16" s="9">
        <v>35</v>
      </c>
      <c r="ED16" s="9">
        <v>72</v>
      </c>
      <c r="EE16" s="19">
        <f t="shared" si="47"/>
        <v>0.4861111111111111</v>
      </c>
      <c r="EF16" s="13">
        <f t="shared" si="21"/>
        <v>0.11388888888888887</v>
      </c>
      <c r="EG16" s="13">
        <f t="shared" si="48"/>
        <v>1.7083333333333329E-2</v>
      </c>
      <c r="EH16" s="14">
        <f t="shared" si="22"/>
        <v>0.50319444444444439</v>
      </c>
      <c r="EI16" s="15">
        <f t="shared" si="49"/>
        <v>36.229999999999997</v>
      </c>
      <c r="EJ16" s="15">
        <f t="shared" si="50"/>
        <v>72</v>
      </c>
      <c r="EL16" s="71" t="s">
        <v>14</v>
      </c>
      <c r="EM16" s="71" t="s">
        <v>7</v>
      </c>
      <c r="EN16" s="12">
        <v>0.8</v>
      </c>
      <c r="EO16" s="13">
        <v>0.125</v>
      </c>
      <c r="EP16" s="21">
        <f t="shared" si="52"/>
        <v>0.8</v>
      </c>
    </row>
    <row r="17" spans="2:146" s="16" customFormat="1" ht="15.75" x14ac:dyDescent="0.25">
      <c r="B17" s="79" t="s">
        <v>15</v>
      </c>
      <c r="C17" s="79" t="s">
        <v>7</v>
      </c>
      <c r="D17" s="67">
        <v>0</v>
      </c>
      <c r="E17" s="67">
        <v>0</v>
      </c>
      <c r="F17" s="60">
        <v>1</v>
      </c>
      <c r="G17" s="59">
        <v>0</v>
      </c>
      <c r="H17" s="59">
        <v>0</v>
      </c>
      <c r="I17" s="60">
        <v>1</v>
      </c>
      <c r="J17" s="59">
        <v>0</v>
      </c>
      <c r="K17" s="59">
        <v>1</v>
      </c>
      <c r="L17" s="60">
        <v>0</v>
      </c>
      <c r="M17" s="11">
        <v>0</v>
      </c>
      <c r="N17" s="11">
        <v>1</v>
      </c>
      <c r="O17" s="10">
        <v>0</v>
      </c>
      <c r="P17" s="13">
        <f t="shared" si="0"/>
        <v>0.9</v>
      </c>
      <c r="Q17" s="56">
        <f t="shared" si="1"/>
        <v>0.9</v>
      </c>
      <c r="R17" s="12">
        <f t="shared" si="51"/>
        <v>0.27</v>
      </c>
      <c r="S17" s="56">
        <f t="shared" si="2"/>
        <v>0.27</v>
      </c>
      <c r="T17" s="14">
        <f t="shared" si="3"/>
        <v>0.27</v>
      </c>
      <c r="U17" s="15">
        <f t="shared" si="23"/>
        <v>0.27</v>
      </c>
      <c r="V17" s="15">
        <f t="shared" si="24"/>
        <v>1</v>
      </c>
      <c r="X17" s="79" t="s">
        <v>15</v>
      </c>
      <c r="Y17" s="79" t="s">
        <v>7</v>
      </c>
      <c r="Z17" s="67">
        <v>664</v>
      </c>
      <c r="AA17" s="67">
        <v>696</v>
      </c>
      <c r="AB17" s="99">
        <v>0.95402298850574707</v>
      </c>
      <c r="AC17" s="9">
        <v>664</v>
      </c>
      <c r="AD17" s="9">
        <v>1090</v>
      </c>
      <c r="AE17" s="10">
        <f t="shared" si="25"/>
        <v>0.60917431192660554</v>
      </c>
      <c r="AF17" s="13">
        <f t="shared" si="4"/>
        <v>0.19082568807339451</v>
      </c>
      <c r="AG17" s="56">
        <f t="shared" si="26"/>
        <v>208</v>
      </c>
      <c r="AH17" s="13">
        <f t="shared" si="27"/>
        <v>4.7706422018348627E-2</v>
      </c>
      <c r="AI17" s="56">
        <f t="shared" si="28"/>
        <v>52</v>
      </c>
      <c r="AJ17" s="14">
        <f t="shared" si="29"/>
        <v>0.65688073394495416</v>
      </c>
      <c r="AK17" s="15">
        <f t="shared" si="30"/>
        <v>716</v>
      </c>
      <c r="AL17" s="15">
        <f t="shared" si="31"/>
        <v>1090</v>
      </c>
      <c r="AN17" s="79" t="s">
        <v>15</v>
      </c>
      <c r="AO17" s="79" t="s">
        <v>7</v>
      </c>
      <c r="AP17" s="71">
        <v>279</v>
      </c>
      <c r="AQ17" s="71">
        <v>292</v>
      </c>
      <c r="AR17" s="72">
        <v>0.95547945205479456</v>
      </c>
      <c r="AS17" s="59">
        <v>360</v>
      </c>
      <c r="AT17" s="59">
        <v>292</v>
      </c>
      <c r="AU17" s="72">
        <v>1.2328767123287672</v>
      </c>
      <c r="AV17" s="11">
        <v>391</v>
      </c>
      <c r="AW17" s="11">
        <v>292</v>
      </c>
      <c r="AX17" s="95">
        <v>1.3390410958904109</v>
      </c>
      <c r="AY17" s="13" t="str">
        <f t="shared" si="5"/>
        <v>-</v>
      </c>
      <c r="AZ17" s="56" t="str">
        <f t="shared" si="6"/>
        <v>-</v>
      </c>
      <c r="BA17" s="13" t="str">
        <f t="shared" si="32"/>
        <v>-</v>
      </c>
      <c r="BB17" s="56" t="str">
        <f t="shared" si="7"/>
        <v>-</v>
      </c>
      <c r="BC17" s="52">
        <f t="shared" si="8"/>
        <v>1.3390410958904109</v>
      </c>
      <c r="BD17" s="15">
        <f t="shared" si="33"/>
        <v>391</v>
      </c>
      <c r="BE17" s="15">
        <v>292</v>
      </c>
      <c r="BG17" s="79" t="s">
        <v>15</v>
      </c>
      <c r="BH17" s="79" t="s">
        <v>7</v>
      </c>
      <c r="BI17" s="67">
        <v>11</v>
      </c>
      <c r="BJ17" s="67">
        <v>34</v>
      </c>
      <c r="BK17" s="82">
        <f>BI17/BJ17</f>
        <v>0.3235294117647059</v>
      </c>
      <c r="BL17" s="59">
        <v>12</v>
      </c>
      <c r="BM17" s="83">
        <v>177</v>
      </c>
      <c r="BN17" s="84">
        <v>0.35294117647058826</v>
      </c>
      <c r="BO17" s="9">
        <v>12</v>
      </c>
      <c r="BP17" s="9">
        <v>34</v>
      </c>
      <c r="BQ17" s="10">
        <v>0.35294117647058826</v>
      </c>
      <c r="BR17" s="13" t="str">
        <f t="shared" si="9"/>
        <v>-</v>
      </c>
      <c r="BS17" s="55" t="str">
        <f t="shared" si="10"/>
        <v>-</v>
      </c>
      <c r="BT17" s="13" t="str">
        <f t="shared" si="35"/>
        <v>-</v>
      </c>
      <c r="BU17" s="55" t="str">
        <f t="shared" si="11"/>
        <v>-</v>
      </c>
      <c r="BV17" s="52">
        <f t="shared" si="12"/>
        <v>0.35294117647058826</v>
      </c>
      <c r="BW17" s="15">
        <f t="shared" si="36"/>
        <v>12</v>
      </c>
      <c r="BX17" s="15">
        <f t="shared" si="37"/>
        <v>34</v>
      </c>
      <c r="BZ17" s="79" t="s">
        <v>15</v>
      </c>
      <c r="CA17" s="79" t="s">
        <v>7</v>
      </c>
      <c r="CB17" s="71">
        <v>85</v>
      </c>
      <c r="CC17" s="96">
        <v>506.5</v>
      </c>
      <c r="CD17" s="82">
        <v>0.16781836130306022</v>
      </c>
      <c r="CE17" s="20">
        <v>93</v>
      </c>
      <c r="CF17" s="20">
        <v>495.61500000000001</v>
      </c>
      <c r="CG17" s="18">
        <v>0.18764565237129627</v>
      </c>
      <c r="CH17" s="13">
        <f t="shared" si="13"/>
        <v>9.2354347628703759E-2</v>
      </c>
      <c r="CI17" s="56">
        <f t="shared" si="14"/>
        <v>45.772200000000012</v>
      </c>
      <c r="CJ17" s="13">
        <f t="shared" si="38"/>
        <v>2.7706304288611126E-2</v>
      </c>
      <c r="CK17" s="56">
        <f t="shared" si="15"/>
        <v>13.731660000000003</v>
      </c>
      <c r="CL17" s="14">
        <f t="shared" si="16"/>
        <v>0.21535195665990739</v>
      </c>
      <c r="CM17" s="15">
        <f t="shared" si="39"/>
        <v>106.73166000000001</v>
      </c>
      <c r="CN17" s="15">
        <f t="shared" si="40"/>
        <v>495.61500000000001</v>
      </c>
      <c r="CP17" s="79" t="s">
        <v>15</v>
      </c>
      <c r="CQ17" s="79" t="s">
        <v>7</v>
      </c>
      <c r="CR17" s="16">
        <v>262</v>
      </c>
      <c r="CS17" s="16">
        <v>296</v>
      </c>
      <c r="CT17" s="108">
        <v>0.88513513513513509</v>
      </c>
      <c r="CU17" s="8">
        <v>227</v>
      </c>
      <c r="CV17" s="8">
        <v>300</v>
      </c>
      <c r="CW17" s="18">
        <v>0.75666666666666671</v>
      </c>
      <c r="CX17" s="13">
        <f t="shared" si="17"/>
        <v>0.14333333333333331</v>
      </c>
      <c r="CY17" s="13">
        <f t="shared" si="41"/>
        <v>7.1666666666666656E-2</v>
      </c>
      <c r="CZ17" s="14">
        <f t="shared" si="18"/>
        <v>0.82833333333333337</v>
      </c>
      <c r="DA17" s="15">
        <f t="shared" si="42"/>
        <v>248.5</v>
      </c>
      <c r="DB17" s="15">
        <f t="shared" si="43"/>
        <v>300</v>
      </c>
      <c r="DD17" s="79" t="s">
        <v>15</v>
      </c>
      <c r="DE17" s="79" t="s">
        <v>7</v>
      </c>
      <c r="DF17" s="71">
        <v>479</v>
      </c>
      <c r="DG17" s="96">
        <v>948.01</v>
      </c>
      <c r="DH17" s="82">
        <v>0.50526893176232324</v>
      </c>
      <c r="DI17" s="8">
        <v>407</v>
      </c>
      <c r="DJ17" s="35">
        <v>1097.598</v>
      </c>
      <c r="DK17" s="18">
        <v>0.370809713574551</v>
      </c>
      <c r="DL17" s="13">
        <f t="shared" si="19"/>
        <v>5.919028642544899E-2</v>
      </c>
      <c r="DM17" s="13">
        <f t="shared" si="44"/>
        <v>1.7757085927634697E-2</v>
      </c>
      <c r="DN17" s="14">
        <f t="shared" si="20"/>
        <v>0.3885667995021857</v>
      </c>
      <c r="DO17" s="15">
        <f t="shared" si="45"/>
        <v>426.49014199999999</v>
      </c>
      <c r="DP17" s="15">
        <f t="shared" si="46"/>
        <v>1097.598</v>
      </c>
      <c r="DR17" s="79" t="s">
        <v>15</v>
      </c>
      <c r="DS17" s="79" t="s">
        <v>7</v>
      </c>
      <c r="DT17" s="71">
        <v>22</v>
      </c>
      <c r="DU17" s="71">
        <v>24</v>
      </c>
      <c r="DV17" s="82">
        <v>0.91666666666666663</v>
      </c>
      <c r="DW17" s="71">
        <v>5</v>
      </c>
      <c r="DX17" s="71">
        <v>5</v>
      </c>
      <c r="DY17" s="82">
        <v>1</v>
      </c>
      <c r="DZ17" s="59">
        <v>6</v>
      </c>
      <c r="EA17" s="59">
        <v>6</v>
      </c>
      <c r="EB17" s="84">
        <v>1</v>
      </c>
      <c r="EC17" s="9">
        <v>6</v>
      </c>
      <c r="ED17" s="9">
        <v>6</v>
      </c>
      <c r="EE17" s="19">
        <f t="shared" si="47"/>
        <v>1</v>
      </c>
      <c r="EF17" s="13" t="str">
        <f t="shared" si="21"/>
        <v>-</v>
      </c>
      <c r="EG17" s="13" t="str">
        <f t="shared" si="48"/>
        <v>-</v>
      </c>
      <c r="EH17" s="52">
        <f t="shared" si="22"/>
        <v>1</v>
      </c>
      <c r="EI17" s="15">
        <f t="shared" si="49"/>
        <v>6</v>
      </c>
      <c r="EJ17" s="15">
        <f t="shared" si="50"/>
        <v>6</v>
      </c>
      <c r="EL17" s="71" t="s">
        <v>15</v>
      </c>
      <c r="EM17" s="71" t="s">
        <v>7</v>
      </c>
      <c r="EN17" s="12">
        <v>0.8</v>
      </c>
      <c r="EO17" s="13">
        <v>0.2857142857142857</v>
      </c>
      <c r="EP17" s="21">
        <f t="shared" si="52"/>
        <v>0.8</v>
      </c>
    </row>
    <row r="18" spans="2:146" s="16" customFormat="1" ht="15.75" x14ac:dyDescent="0.25">
      <c r="B18" s="79" t="s">
        <v>16</v>
      </c>
      <c r="C18" s="79" t="s">
        <v>7</v>
      </c>
      <c r="D18" s="67">
        <v>3</v>
      </c>
      <c r="E18" s="67">
        <v>6</v>
      </c>
      <c r="F18" s="60">
        <v>0.5</v>
      </c>
      <c r="G18" s="59">
        <v>0</v>
      </c>
      <c r="H18" s="59">
        <v>2</v>
      </c>
      <c r="I18" s="60">
        <v>0</v>
      </c>
      <c r="J18" s="59">
        <v>2</v>
      </c>
      <c r="K18" s="59">
        <v>4</v>
      </c>
      <c r="L18" s="60">
        <v>0.5</v>
      </c>
      <c r="M18" s="11">
        <v>2</v>
      </c>
      <c r="N18" s="11">
        <v>5</v>
      </c>
      <c r="O18" s="10">
        <v>0.4</v>
      </c>
      <c r="P18" s="13">
        <f t="shared" si="0"/>
        <v>0.5</v>
      </c>
      <c r="Q18" s="56">
        <f t="shared" si="1"/>
        <v>2.5</v>
      </c>
      <c r="R18" s="12">
        <f t="shared" si="51"/>
        <v>0.15</v>
      </c>
      <c r="S18" s="56">
        <f t="shared" si="2"/>
        <v>0.75</v>
      </c>
      <c r="T18" s="14">
        <f t="shared" si="3"/>
        <v>0.55000000000000004</v>
      </c>
      <c r="U18" s="15">
        <f t="shared" si="23"/>
        <v>2.75</v>
      </c>
      <c r="V18" s="15">
        <f t="shared" si="24"/>
        <v>5</v>
      </c>
      <c r="X18" s="79" t="s">
        <v>16</v>
      </c>
      <c r="Y18" s="79" t="s">
        <v>7</v>
      </c>
      <c r="Z18" s="67">
        <v>1202</v>
      </c>
      <c r="AA18" s="67">
        <v>1367</v>
      </c>
      <c r="AB18" s="99">
        <v>0.87929773226042429</v>
      </c>
      <c r="AC18" s="9">
        <v>1206</v>
      </c>
      <c r="AD18" s="9">
        <v>2296</v>
      </c>
      <c r="AE18" s="10">
        <f t="shared" si="25"/>
        <v>0.52526132404181181</v>
      </c>
      <c r="AF18" s="13">
        <f t="shared" si="4"/>
        <v>0.27473867595818824</v>
      </c>
      <c r="AG18" s="56">
        <f t="shared" si="26"/>
        <v>630.80000000000018</v>
      </c>
      <c r="AH18" s="13">
        <f t="shared" si="27"/>
        <v>6.868466898954706E-2</v>
      </c>
      <c r="AI18" s="56">
        <f t="shared" si="28"/>
        <v>157.70000000000005</v>
      </c>
      <c r="AJ18" s="14">
        <f t="shared" si="29"/>
        <v>0.59394599303135887</v>
      </c>
      <c r="AK18" s="15">
        <f t="shared" si="30"/>
        <v>1363.7</v>
      </c>
      <c r="AL18" s="15">
        <f t="shared" si="31"/>
        <v>2296</v>
      </c>
      <c r="AN18" s="79" t="s">
        <v>16</v>
      </c>
      <c r="AO18" s="79" t="s">
        <v>7</v>
      </c>
      <c r="AP18" s="71">
        <v>156</v>
      </c>
      <c r="AQ18" s="71">
        <v>847</v>
      </c>
      <c r="AR18" s="72">
        <v>0.18417945690672963</v>
      </c>
      <c r="AS18" s="59">
        <v>280</v>
      </c>
      <c r="AT18" s="59">
        <v>847</v>
      </c>
      <c r="AU18" s="72">
        <v>0.33057851239669422</v>
      </c>
      <c r="AV18" s="11">
        <v>337</v>
      </c>
      <c r="AW18" s="11">
        <v>847</v>
      </c>
      <c r="AX18" s="17">
        <v>0.39787485242030696</v>
      </c>
      <c r="AY18" s="13" t="str">
        <f t="shared" si="5"/>
        <v>-</v>
      </c>
      <c r="AZ18" s="56" t="str">
        <f t="shared" si="6"/>
        <v>-</v>
      </c>
      <c r="BA18" s="13" t="str">
        <f t="shared" si="32"/>
        <v>-</v>
      </c>
      <c r="BB18" s="56" t="str">
        <f t="shared" si="7"/>
        <v>-</v>
      </c>
      <c r="BC18" s="52">
        <f t="shared" si="8"/>
        <v>0.39787485242030696</v>
      </c>
      <c r="BD18" s="15">
        <f t="shared" si="33"/>
        <v>337</v>
      </c>
      <c r="BE18" s="15">
        <v>847</v>
      </c>
      <c r="BG18" s="79" t="s">
        <v>16</v>
      </c>
      <c r="BH18" s="79" t="s">
        <v>7</v>
      </c>
      <c r="BI18" s="67">
        <v>7</v>
      </c>
      <c r="BJ18" s="67">
        <v>88</v>
      </c>
      <c r="BK18" s="82">
        <f t="shared" si="34"/>
        <v>7.9545454545454544E-2</v>
      </c>
      <c r="BL18" s="59">
        <v>13</v>
      </c>
      <c r="BM18" s="83">
        <v>135.75</v>
      </c>
      <c r="BN18" s="84">
        <v>0.14772727272727273</v>
      </c>
      <c r="BO18" s="9">
        <v>14</v>
      </c>
      <c r="BP18" s="9">
        <v>88</v>
      </c>
      <c r="BQ18" s="10">
        <v>0.15909090909090909</v>
      </c>
      <c r="BR18" s="13" t="str">
        <f t="shared" si="9"/>
        <v>-</v>
      </c>
      <c r="BS18" s="55" t="str">
        <f t="shared" si="10"/>
        <v>-</v>
      </c>
      <c r="BT18" s="13" t="str">
        <f t="shared" si="35"/>
        <v>-</v>
      </c>
      <c r="BU18" s="55" t="str">
        <f t="shared" si="11"/>
        <v>-</v>
      </c>
      <c r="BV18" s="52">
        <f t="shared" si="12"/>
        <v>0.15909090909090909</v>
      </c>
      <c r="BW18" s="15">
        <f t="shared" si="36"/>
        <v>14</v>
      </c>
      <c r="BX18" s="15">
        <f t="shared" si="37"/>
        <v>88</v>
      </c>
      <c r="BZ18" s="79" t="s">
        <v>16</v>
      </c>
      <c r="CA18" s="79" t="s">
        <v>7</v>
      </c>
      <c r="CB18" s="71">
        <v>238</v>
      </c>
      <c r="CC18" s="96">
        <v>847.9</v>
      </c>
      <c r="CD18" s="82">
        <v>0.28069347800448169</v>
      </c>
      <c r="CE18" s="20">
        <v>234</v>
      </c>
      <c r="CF18" s="20">
        <v>941.26499999999999</v>
      </c>
      <c r="CG18" s="18">
        <v>0.24860161591050342</v>
      </c>
      <c r="CH18" s="13">
        <f t="shared" si="13"/>
        <v>3.1398384089496606E-2</v>
      </c>
      <c r="CI18" s="56">
        <f t="shared" si="14"/>
        <v>29.554200000000023</v>
      </c>
      <c r="CJ18" s="13">
        <f t="shared" si="38"/>
        <v>9.4195152268489821E-3</v>
      </c>
      <c r="CK18" s="56">
        <f t="shared" si="15"/>
        <v>8.8662600000000076</v>
      </c>
      <c r="CL18" s="14">
        <f t="shared" si="16"/>
        <v>0.25802113113735242</v>
      </c>
      <c r="CM18" s="15">
        <f t="shared" si="39"/>
        <v>242.86626000000001</v>
      </c>
      <c r="CN18" s="15">
        <f t="shared" si="40"/>
        <v>941.26499999999999</v>
      </c>
      <c r="CP18" s="79" t="s">
        <v>16</v>
      </c>
      <c r="CQ18" s="79" t="s">
        <v>7</v>
      </c>
      <c r="CR18" s="16">
        <v>443</v>
      </c>
      <c r="CS18" s="16">
        <v>648</v>
      </c>
      <c r="CT18" s="108">
        <v>0.68364197530864201</v>
      </c>
      <c r="CU18" s="8">
        <v>420</v>
      </c>
      <c r="CV18" s="8">
        <v>665</v>
      </c>
      <c r="CW18" s="18">
        <v>0.63157894736842102</v>
      </c>
      <c r="CX18" s="13">
        <f t="shared" si="17"/>
        <v>0.268421052631579</v>
      </c>
      <c r="CY18" s="13">
        <f t="shared" si="41"/>
        <v>0.1342105263157895</v>
      </c>
      <c r="CZ18" s="14">
        <f t="shared" si="18"/>
        <v>0.76578947368421058</v>
      </c>
      <c r="DA18" s="15">
        <f t="shared" si="42"/>
        <v>509.25000000000006</v>
      </c>
      <c r="DB18" s="15">
        <f t="shared" si="43"/>
        <v>665</v>
      </c>
      <c r="DD18" s="79" t="s">
        <v>16</v>
      </c>
      <c r="DE18" s="79" t="s">
        <v>7</v>
      </c>
      <c r="DF18" s="71">
        <v>1114</v>
      </c>
      <c r="DG18" s="96">
        <v>1617.7750000000001</v>
      </c>
      <c r="DH18" s="82">
        <v>0.68860008344794543</v>
      </c>
      <c r="DI18" s="8">
        <v>1083</v>
      </c>
      <c r="DJ18" s="35">
        <v>2130.5729999999999</v>
      </c>
      <c r="DK18" s="18">
        <v>0.5083139606105963</v>
      </c>
      <c r="DL18" s="13" t="str">
        <f t="shared" si="19"/>
        <v>-</v>
      </c>
      <c r="DM18" s="13" t="str">
        <f t="shared" si="44"/>
        <v>-</v>
      </c>
      <c r="DN18" s="52">
        <f t="shared" si="20"/>
        <v>0.5083139606105963</v>
      </c>
      <c r="DO18" s="15">
        <f t="shared" si="45"/>
        <v>1083</v>
      </c>
      <c r="DP18" s="15">
        <f t="shared" si="46"/>
        <v>2130.5729999999999</v>
      </c>
      <c r="DR18" s="79" t="s">
        <v>16</v>
      </c>
      <c r="DS18" s="79" t="s">
        <v>7</v>
      </c>
      <c r="DT18" s="71">
        <v>35</v>
      </c>
      <c r="DU18" s="71">
        <v>53</v>
      </c>
      <c r="DV18" s="82">
        <v>0.660377358490566</v>
      </c>
      <c r="DW18" s="71">
        <v>25</v>
      </c>
      <c r="DX18" s="71">
        <v>26</v>
      </c>
      <c r="DY18" s="82">
        <v>0.96153846153846156</v>
      </c>
      <c r="DZ18" s="59">
        <v>29</v>
      </c>
      <c r="EA18" s="59">
        <v>32</v>
      </c>
      <c r="EB18" s="84">
        <v>0.90625</v>
      </c>
      <c r="EC18" s="9">
        <v>31</v>
      </c>
      <c r="ED18" s="9">
        <v>35</v>
      </c>
      <c r="EE18" s="19">
        <f t="shared" si="47"/>
        <v>0.88571428571428568</v>
      </c>
      <c r="EF18" s="13" t="str">
        <f t="shared" si="21"/>
        <v>-</v>
      </c>
      <c r="EG18" s="13" t="str">
        <f t="shared" si="48"/>
        <v>-</v>
      </c>
      <c r="EH18" s="52">
        <f t="shared" si="22"/>
        <v>0.88571428571428568</v>
      </c>
      <c r="EI18" s="15">
        <f t="shared" si="49"/>
        <v>31</v>
      </c>
      <c r="EJ18" s="15">
        <f t="shared" si="50"/>
        <v>35</v>
      </c>
      <c r="EL18" s="71" t="s">
        <v>16</v>
      </c>
      <c r="EM18" s="71" t="s">
        <v>7</v>
      </c>
      <c r="EN18" s="12">
        <v>0.8</v>
      </c>
      <c r="EO18" s="13">
        <v>0.2</v>
      </c>
      <c r="EP18" s="21">
        <f t="shared" si="52"/>
        <v>0.8</v>
      </c>
    </row>
    <row r="19" spans="2:146" s="16" customFormat="1" ht="15.75" x14ac:dyDescent="0.25">
      <c r="B19" s="79" t="s">
        <v>17</v>
      </c>
      <c r="C19" s="79" t="s">
        <v>7</v>
      </c>
      <c r="D19" s="67">
        <v>7</v>
      </c>
      <c r="E19" s="67">
        <v>8</v>
      </c>
      <c r="F19" s="60">
        <v>0.875</v>
      </c>
      <c r="G19" s="59">
        <v>3</v>
      </c>
      <c r="H19" s="59">
        <v>9</v>
      </c>
      <c r="I19" s="60">
        <v>0.33333333333333331</v>
      </c>
      <c r="J19" s="59">
        <v>5</v>
      </c>
      <c r="K19" s="59">
        <v>12</v>
      </c>
      <c r="L19" s="60">
        <v>0.41666666666666669</v>
      </c>
      <c r="M19" s="11">
        <v>6</v>
      </c>
      <c r="N19" s="11">
        <v>13</v>
      </c>
      <c r="O19" s="10">
        <v>0.46153846153846156</v>
      </c>
      <c r="P19" s="13">
        <f t="shared" si="0"/>
        <v>0.43846153846153846</v>
      </c>
      <c r="Q19" s="56">
        <f t="shared" si="1"/>
        <v>5.7</v>
      </c>
      <c r="R19" s="12">
        <f t="shared" si="51"/>
        <v>0.13153846153846152</v>
      </c>
      <c r="S19" s="56">
        <f t="shared" si="2"/>
        <v>1.7099999999999997</v>
      </c>
      <c r="T19" s="14">
        <f t="shared" si="3"/>
        <v>0.59307692307692306</v>
      </c>
      <c r="U19" s="15">
        <f t="shared" si="23"/>
        <v>7.71</v>
      </c>
      <c r="V19" s="15">
        <f t="shared" si="24"/>
        <v>13</v>
      </c>
      <c r="X19" s="79" t="s">
        <v>17</v>
      </c>
      <c r="Y19" s="79" t="s">
        <v>7</v>
      </c>
      <c r="Z19" s="67">
        <v>2060</v>
      </c>
      <c r="AA19" s="67">
        <v>2432</v>
      </c>
      <c r="AB19" s="99">
        <v>0.84703947368421051</v>
      </c>
      <c r="AC19" s="9">
        <v>2060</v>
      </c>
      <c r="AD19" s="9">
        <v>3604</v>
      </c>
      <c r="AE19" s="10">
        <f t="shared" si="25"/>
        <v>0.57158712541620427</v>
      </c>
      <c r="AF19" s="13">
        <f t="shared" si="4"/>
        <v>0.22841287458379578</v>
      </c>
      <c r="AG19" s="56">
        <f t="shared" si="26"/>
        <v>823.19999999999993</v>
      </c>
      <c r="AH19" s="13">
        <f t="shared" si="27"/>
        <v>5.7103218645948944E-2</v>
      </c>
      <c r="AI19" s="56">
        <f t="shared" si="28"/>
        <v>205.79999999999998</v>
      </c>
      <c r="AJ19" s="14">
        <f t="shared" si="29"/>
        <v>0.62869034406215318</v>
      </c>
      <c r="AK19" s="15">
        <f t="shared" si="30"/>
        <v>2265.8000000000002</v>
      </c>
      <c r="AL19" s="15">
        <f t="shared" si="31"/>
        <v>3604</v>
      </c>
      <c r="AN19" s="79" t="s">
        <v>17</v>
      </c>
      <c r="AO19" s="79" t="s">
        <v>7</v>
      </c>
      <c r="AP19" s="71">
        <v>92</v>
      </c>
      <c r="AQ19" s="71">
        <v>1245</v>
      </c>
      <c r="AR19" s="72">
        <v>7.3895582329317269E-2</v>
      </c>
      <c r="AS19" s="59">
        <v>252</v>
      </c>
      <c r="AT19" s="59">
        <v>1245</v>
      </c>
      <c r="AU19" s="72">
        <v>0.20240963855421687</v>
      </c>
      <c r="AV19" s="11">
        <v>299</v>
      </c>
      <c r="AW19" s="11">
        <v>1245</v>
      </c>
      <c r="AX19" s="17">
        <v>0.24016064257028114</v>
      </c>
      <c r="AY19" s="13">
        <f t="shared" si="5"/>
        <v>0.10983935742971884</v>
      </c>
      <c r="AZ19" s="56">
        <f t="shared" si="6"/>
        <v>136.74999999999997</v>
      </c>
      <c r="BA19" s="13">
        <f t="shared" si="32"/>
        <v>5.4919678714859421E-2</v>
      </c>
      <c r="BB19" s="56">
        <f t="shared" si="7"/>
        <v>68.374999999999986</v>
      </c>
      <c r="BC19" s="53">
        <f t="shared" si="8"/>
        <v>0.29508032128514056</v>
      </c>
      <c r="BD19" s="15">
        <f t="shared" si="33"/>
        <v>367.375</v>
      </c>
      <c r="BE19" s="15">
        <v>1245</v>
      </c>
      <c r="BG19" s="79" t="s">
        <v>17</v>
      </c>
      <c r="BH19" s="79" t="s">
        <v>7</v>
      </c>
      <c r="BI19" s="67">
        <v>4</v>
      </c>
      <c r="BJ19" s="67">
        <v>136</v>
      </c>
      <c r="BK19" s="82">
        <f t="shared" si="34"/>
        <v>2.9411764705882353E-2</v>
      </c>
      <c r="BL19" s="59">
        <v>6</v>
      </c>
      <c r="BM19" s="83">
        <v>125.5</v>
      </c>
      <c r="BN19" s="84">
        <v>4.4117647058823532E-2</v>
      </c>
      <c r="BO19" s="9">
        <v>7</v>
      </c>
      <c r="BP19" s="9">
        <v>136</v>
      </c>
      <c r="BQ19" s="10">
        <v>5.1470588235294115E-2</v>
      </c>
      <c r="BR19" s="13">
        <f t="shared" si="9"/>
        <v>5.8529411764705885E-2</v>
      </c>
      <c r="BS19" s="56">
        <f t="shared" si="10"/>
        <v>7.9600000000000009</v>
      </c>
      <c r="BT19" s="13">
        <f t="shared" si="35"/>
        <v>2.9264705882352943E-2</v>
      </c>
      <c r="BU19" s="56">
        <f t="shared" si="11"/>
        <v>3.9800000000000004</v>
      </c>
      <c r="BV19" s="53">
        <f t="shared" si="12"/>
        <v>8.0735294117647058E-2</v>
      </c>
      <c r="BW19" s="15">
        <f t="shared" si="36"/>
        <v>10.98</v>
      </c>
      <c r="BX19" s="15">
        <f t="shared" si="37"/>
        <v>136</v>
      </c>
      <c r="BZ19" s="79" t="s">
        <v>17</v>
      </c>
      <c r="CA19" s="79" t="s">
        <v>7</v>
      </c>
      <c r="CB19" s="71">
        <v>300</v>
      </c>
      <c r="CC19" s="96">
        <v>1307.75</v>
      </c>
      <c r="CD19" s="82">
        <v>0.22940164404511565</v>
      </c>
      <c r="CE19" s="20">
        <v>413</v>
      </c>
      <c r="CF19" s="20">
        <v>1471</v>
      </c>
      <c r="CG19" s="18">
        <v>0.28068658793849638</v>
      </c>
      <c r="CH19" s="13" t="str">
        <f t="shared" si="13"/>
        <v>-</v>
      </c>
      <c r="CI19" s="56" t="str">
        <f t="shared" si="14"/>
        <v>-</v>
      </c>
      <c r="CJ19" s="13" t="str">
        <f t="shared" si="38"/>
        <v>-</v>
      </c>
      <c r="CK19" s="56" t="str">
        <f t="shared" si="15"/>
        <v>-</v>
      </c>
      <c r="CL19" s="52">
        <f t="shared" si="16"/>
        <v>0.28068658793849638</v>
      </c>
      <c r="CM19" s="15">
        <f t="shared" si="39"/>
        <v>412.88997085752817</v>
      </c>
      <c r="CN19" s="15">
        <f t="shared" si="40"/>
        <v>1471</v>
      </c>
      <c r="CP19" s="79" t="s">
        <v>17</v>
      </c>
      <c r="CQ19" s="79" t="s">
        <v>7</v>
      </c>
      <c r="CR19" s="16">
        <v>548</v>
      </c>
      <c r="CS19" s="16">
        <v>1092</v>
      </c>
      <c r="CT19" s="108">
        <v>0.50183150183150182</v>
      </c>
      <c r="CU19" s="8">
        <v>651</v>
      </c>
      <c r="CV19" s="8">
        <v>981</v>
      </c>
      <c r="CW19" s="18">
        <v>0.66360856269113155</v>
      </c>
      <c r="CX19" s="13">
        <f t="shared" si="17"/>
        <v>0.23639143730886847</v>
      </c>
      <c r="CY19" s="13">
        <f t="shared" si="41"/>
        <v>0.11819571865443423</v>
      </c>
      <c r="CZ19" s="14">
        <f t="shared" si="18"/>
        <v>0.78180428134556579</v>
      </c>
      <c r="DA19" s="15">
        <f t="shared" si="42"/>
        <v>766.95</v>
      </c>
      <c r="DB19" s="15">
        <f t="shared" si="43"/>
        <v>981</v>
      </c>
      <c r="DD19" s="79" t="s">
        <v>17</v>
      </c>
      <c r="DE19" s="79" t="s">
        <v>7</v>
      </c>
      <c r="DF19" s="71">
        <v>1349</v>
      </c>
      <c r="DG19" s="96">
        <v>2509.3279999999995</v>
      </c>
      <c r="DH19" s="82">
        <v>0.53759412878667123</v>
      </c>
      <c r="DI19" s="8">
        <v>1333</v>
      </c>
      <c r="DJ19" s="35">
        <v>3343.6749999999997</v>
      </c>
      <c r="DK19" s="18">
        <v>0.39866314758461874</v>
      </c>
      <c r="DL19" s="13">
        <f t="shared" si="19"/>
        <v>3.1336852415381256E-2</v>
      </c>
      <c r="DM19" s="13">
        <f t="shared" si="44"/>
        <v>9.4010557246143756E-3</v>
      </c>
      <c r="DN19" s="14">
        <f t="shared" si="20"/>
        <v>0.4080642033092331</v>
      </c>
      <c r="DO19" s="15">
        <f t="shared" si="45"/>
        <v>1364.4340749999999</v>
      </c>
      <c r="DP19" s="15">
        <f t="shared" si="46"/>
        <v>3343.6749999999997</v>
      </c>
      <c r="DR19" s="79" t="s">
        <v>17</v>
      </c>
      <c r="DS19" s="79" t="s">
        <v>7</v>
      </c>
      <c r="DT19" s="71">
        <v>54</v>
      </c>
      <c r="DU19" s="71">
        <v>72</v>
      </c>
      <c r="DV19" s="82">
        <v>0.75</v>
      </c>
      <c r="DW19" s="71">
        <v>23</v>
      </c>
      <c r="DX19" s="71">
        <v>30</v>
      </c>
      <c r="DY19" s="82">
        <v>0.76666666666666672</v>
      </c>
      <c r="DZ19" s="59">
        <v>35</v>
      </c>
      <c r="EA19" s="59">
        <v>43</v>
      </c>
      <c r="EB19" s="84">
        <v>0.81395348837209303</v>
      </c>
      <c r="EC19" s="9">
        <v>39</v>
      </c>
      <c r="ED19" s="9">
        <v>50</v>
      </c>
      <c r="EE19" s="19">
        <f t="shared" si="47"/>
        <v>0.78</v>
      </c>
      <c r="EF19" s="13" t="str">
        <f t="shared" si="21"/>
        <v>-</v>
      </c>
      <c r="EG19" s="13" t="str">
        <f t="shared" si="48"/>
        <v>-</v>
      </c>
      <c r="EH19" s="52">
        <f t="shared" si="22"/>
        <v>0.78</v>
      </c>
      <c r="EI19" s="15">
        <f t="shared" si="49"/>
        <v>39</v>
      </c>
      <c r="EJ19" s="15">
        <f t="shared" si="50"/>
        <v>50</v>
      </c>
      <c r="EL19" s="71" t="s">
        <v>17</v>
      </c>
      <c r="EM19" s="71" t="s">
        <v>7</v>
      </c>
      <c r="EN19" s="12">
        <v>0.8</v>
      </c>
      <c r="EO19" s="13">
        <v>0.18181818181818182</v>
      </c>
      <c r="EP19" s="21">
        <f t="shared" si="52"/>
        <v>0.8</v>
      </c>
    </row>
    <row r="20" spans="2:146" s="16" customFormat="1" ht="15.75" x14ac:dyDescent="0.25">
      <c r="B20" s="79" t="s">
        <v>18</v>
      </c>
      <c r="C20" s="79" t="s">
        <v>7</v>
      </c>
      <c r="D20" s="67">
        <v>1</v>
      </c>
      <c r="E20" s="67">
        <v>2</v>
      </c>
      <c r="F20" s="60">
        <v>0.5</v>
      </c>
      <c r="G20" s="59">
        <v>0</v>
      </c>
      <c r="H20" s="59">
        <v>0</v>
      </c>
      <c r="I20" s="60">
        <v>1</v>
      </c>
      <c r="J20" s="59">
        <v>2</v>
      </c>
      <c r="K20" s="59">
        <v>6</v>
      </c>
      <c r="L20" s="60">
        <v>0.33333333333333331</v>
      </c>
      <c r="M20" s="11">
        <v>2</v>
      </c>
      <c r="N20" s="11">
        <v>7</v>
      </c>
      <c r="O20" s="10">
        <v>0.2857142857142857</v>
      </c>
      <c r="P20" s="13">
        <f t="shared" si="0"/>
        <v>0.61428571428571432</v>
      </c>
      <c r="Q20" s="56">
        <f t="shared" si="1"/>
        <v>4.3000000000000007</v>
      </c>
      <c r="R20" s="12">
        <f t="shared" si="51"/>
        <v>0.1842857142857143</v>
      </c>
      <c r="S20" s="56">
        <f t="shared" si="2"/>
        <v>1.29</v>
      </c>
      <c r="T20" s="14">
        <f t="shared" si="3"/>
        <v>0.47</v>
      </c>
      <c r="U20" s="15">
        <f t="shared" si="23"/>
        <v>3.29</v>
      </c>
      <c r="V20" s="15">
        <f t="shared" si="24"/>
        <v>7</v>
      </c>
      <c r="X20" s="79" t="s">
        <v>18</v>
      </c>
      <c r="Y20" s="79" t="s">
        <v>7</v>
      </c>
      <c r="Z20" s="67">
        <v>2981</v>
      </c>
      <c r="AA20" s="67">
        <v>3200</v>
      </c>
      <c r="AB20" s="99">
        <v>0.93156249999999996</v>
      </c>
      <c r="AC20" s="9">
        <v>2633</v>
      </c>
      <c r="AD20" s="9">
        <v>4777</v>
      </c>
      <c r="AE20" s="10">
        <f t="shared" si="25"/>
        <v>0.55118275068034328</v>
      </c>
      <c r="AF20" s="13">
        <f t="shared" si="4"/>
        <v>0.24881724931965676</v>
      </c>
      <c r="AG20" s="56">
        <f t="shared" si="26"/>
        <v>1188.6000000000004</v>
      </c>
      <c r="AH20" s="13">
        <f>IFERROR(AF20*0.25,"-")</f>
        <v>6.2204312329914191E-2</v>
      </c>
      <c r="AI20" s="56">
        <f t="shared" si="28"/>
        <v>297.15000000000009</v>
      </c>
      <c r="AJ20" s="14">
        <f t="shared" si="29"/>
        <v>0.61338706301025747</v>
      </c>
      <c r="AK20" s="15">
        <f t="shared" si="30"/>
        <v>2930.15</v>
      </c>
      <c r="AL20" s="15">
        <f t="shared" si="31"/>
        <v>4777</v>
      </c>
      <c r="AN20" s="79" t="s">
        <v>18</v>
      </c>
      <c r="AO20" s="79" t="s">
        <v>7</v>
      </c>
      <c r="AP20" s="71">
        <v>201</v>
      </c>
      <c r="AQ20" s="71">
        <v>1606</v>
      </c>
      <c r="AR20" s="72">
        <v>0.12515566625155666</v>
      </c>
      <c r="AS20" s="59">
        <v>336</v>
      </c>
      <c r="AT20" s="59">
        <v>1606</v>
      </c>
      <c r="AU20" s="72">
        <v>0.20921544209215442</v>
      </c>
      <c r="AV20" s="11">
        <v>423</v>
      </c>
      <c r="AW20" s="11">
        <v>1606</v>
      </c>
      <c r="AX20" s="17">
        <v>0.26338729763387297</v>
      </c>
      <c r="AY20" s="13">
        <f t="shared" si="5"/>
        <v>8.6612702366127003E-2</v>
      </c>
      <c r="AZ20" s="56">
        <f t="shared" si="6"/>
        <v>139.09999999999997</v>
      </c>
      <c r="BA20" s="13">
        <f t="shared" si="32"/>
        <v>4.3306351183063502E-2</v>
      </c>
      <c r="BB20" s="56">
        <f t="shared" si="7"/>
        <v>69.549999999999983</v>
      </c>
      <c r="BC20" s="53">
        <f t="shared" si="8"/>
        <v>0.3066936488169365</v>
      </c>
      <c r="BD20" s="15">
        <f t="shared" si="33"/>
        <v>492.55</v>
      </c>
      <c r="BE20" s="15">
        <v>1606</v>
      </c>
      <c r="BG20" s="79" t="s">
        <v>18</v>
      </c>
      <c r="BH20" s="79" t="s">
        <v>7</v>
      </c>
      <c r="BI20" s="67">
        <v>3</v>
      </c>
      <c r="BJ20" s="67">
        <v>203</v>
      </c>
      <c r="BK20" s="82">
        <f t="shared" si="34"/>
        <v>1.4778325123152709E-2</v>
      </c>
      <c r="BL20" s="59">
        <v>34</v>
      </c>
      <c r="BM20" s="83">
        <v>10.25</v>
      </c>
      <c r="BN20" s="84">
        <v>0.16748768472906403</v>
      </c>
      <c r="BO20" s="9">
        <v>38</v>
      </c>
      <c r="BP20" s="9">
        <v>203</v>
      </c>
      <c r="BQ20" s="10">
        <v>0.18719211822660098</v>
      </c>
      <c r="BR20" s="13" t="str">
        <f t="shared" si="9"/>
        <v>-</v>
      </c>
      <c r="BS20" s="55" t="str">
        <f t="shared" si="10"/>
        <v>-</v>
      </c>
      <c r="BT20" s="13" t="str">
        <f t="shared" si="35"/>
        <v>-</v>
      </c>
      <c r="BU20" s="55" t="str">
        <f t="shared" si="11"/>
        <v>-</v>
      </c>
      <c r="BV20" s="52">
        <f t="shared" si="12"/>
        <v>0.18719211822660098</v>
      </c>
      <c r="BW20" s="15">
        <f t="shared" si="36"/>
        <v>38</v>
      </c>
      <c r="BX20" s="15">
        <f t="shared" si="37"/>
        <v>203</v>
      </c>
      <c r="BZ20" s="79" t="s">
        <v>18</v>
      </c>
      <c r="CA20" s="79" t="s">
        <v>7</v>
      </c>
      <c r="CB20" s="71">
        <v>539</v>
      </c>
      <c r="CC20" s="96">
        <v>1850.6000000000001</v>
      </c>
      <c r="CD20" s="82">
        <v>0.29125688965740837</v>
      </c>
      <c r="CE20" s="20">
        <v>377</v>
      </c>
      <c r="CF20" s="20">
        <v>2111.9880000000003</v>
      </c>
      <c r="CG20" s="18">
        <v>0.17850480211061803</v>
      </c>
      <c r="CH20" s="13">
        <f t="shared" si="13"/>
        <v>0.10149519788938199</v>
      </c>
      <c r="CI20" s="56">
        <f t="shared" si="14"/>
        <v>214.35664000000014</v>
      </c>
      <c r="CJ20" s="13">
        <f t="shared" si="38"/>
        <v>3.0448559366814596E-2</v>
      </c>
      <c r="CK20" s="56">
        <f t="shared" si="15"/>
        <v>64.306992000000037</v>
      </c>
      <c r="CL20" s="14">
        <f t="shared" si="16"/>
        <v>0.20895336147743263</v>
      </c>
      <c r="CM20" s="15">
        <f t="shared" si="39"/>
        <v>441.30699200000004</v>
      </c>
      <c r="CN20" s="15">
        <f t="shared" si="40"/>
        <v>2111.9880000000003</v>
      </c>
      <c r="CP20" s="79" t="s">
        <v>18</v>
      </c>
      <c r="CQ20" s="79" t="s">
        <v>7</v>
      </c>
      <c r="CR20" s="16">
        <v>756</v>
      </c>
      <c r="CS20" s="16">
        <v>1574</v>
      </c>
      <c r="CT20" s="108">
        <v>0.48030495552731894</v>
      </c>
      <c r="CU20" s="8">
        <v>1024</v>
      </c>
      <c r="CV20" s="8">
        <v>1311</v>
      </c>
      <c r="CW20" s="18">
        <v>0.78108314263920675</v>
      </c>
      <c r="CX20" s="13">
        <f t="shared" si="17"/>
        <v>0.11891685736079327</v>
      </c>
      <c r="CY20" s="13">
        <f t="shared" si="41"/>
        <v>5.9458428680396636E-2</v>
      </c>
      <c r="CZ20" s="14">
        <f t="shared" si="18"/>
        <v>0.84054157131960339</v>
      </c>
      <c r="DA20" s="15">
        <f t="shared" si="42"/>
        <v>1101.95</v>
      </c>
      <c r="DB20" s="15">
        <f t="shared" si="43"/>
        <v>1311</v>
      </c>
      <c r="DD20" s="79" t="s">
        <v>18</v>
      </c>
      <c r="DE20" s="79" t="s">
        <v>7</v>
      </c>
      <c r="DF20" s="71">
        <v>2256</v>
      </c>
      <c r="DG20" s="96">
        <v>3636.902</v>
      </c>
      <c r="DH20" s="82">
        <v>0.62030816337641215</v>
      </c>
      <c r="DI20" s="8">
        <v>1715</v>
      </c>
      <c r="DJ20" s="35">
        <v>4832.0159999999996</v>
      </c>
      <c r="DK20" s="18">
        <v>0.35492432144264424</v>
      </c>
      <c r="DL20" s="13">
        <f t="shared" si="19"/>
        <v>7.5075678557355752E-2</v>
      </c>
      <c r="DM20" s="13">
        <f t="shared" si="44"/>
        <v>2.2522703567206724E-2</v>
      </c>
      <c r="DN20" s="14">
        <f t="shared" si="20"/>
        <v>0.37744702500985094</v>
      </c>
      <c r="DO20" s="15">
        <f t="shared" si="45"/>
        <v>1823.8300639999998</v>
      </c>
      <c r="DP20" s="15">
        <f t="shared" si="46"/>
        <v>4832.0159999999996</v>
      </c>
      <c r="DR20" s="79" t="s">
        <v>18</v>
      </c>
      <c r="DS20" s="79" t="s">
        <v>7</v>
      </c>
      <c r="DT20" s="71">
        <v>74</v>
      </c>
      <c r="DU20" s="71">
        <v>135</v>
      </c>
      <c r="DV20" s="82">
        <v>0.54814814814814816</v>
      </c>
      <c r="DW20" s="71">
        <v>46</v>
      </c>
      <c r="DX20" s="71">
        <v>73</v>
      </c>
      <c r="DY20" s="82">
        <v>0.63013698630136983</v>
      </c>
      <c r="DZ20" s="59">
        <v>58</v>
      </c>
      <c r="EA20" s="59">
        <v>95</v>
      </c>
      <c r="EB20" s="84">
        <v>0.61052631578947369</v>
      </c>
      <c r="EC20" s="9">
        <v>63</v>
      </c>
      <c r="ED20" s="9">
        <v>102</v>
      </c>
      <c r="EE20" s="19">
        <f t="shared" si="47"/>
        <v>0.61764705882352944</v>
      </c>
      <c r="EF20" s="13" t="str">
        <f t="shared" si="21"/>
        <v>-</v>
      </c>
      <c r="EG20" s="13" t="str">
        <f t="shared" si="48"/>
        <v>-</v>
      </c>
      <c r="EH20" s="52">
        <f t="shared" si="22"/>
        <v>0.61764705882352944</v>
      </c>
      <c r="EI20" s="15">
        <f t="shared" si="49"/>
        <v>63</v>
      </c>
      <c r="EJ20" s="15">
        <f t="shared" si="50"/>
        <v>102</v>
      </c>
      <c r="EL20" s="71" t="s">
        <v>18</v>
      </c>
      <c r="EM20" s="71" t="s">
        <v>7</v>
      </c>
      <c r="EN20" s="12">
        <v>0.8</v>
      </c>
      <c r="EO20" s="13">
        <v>0.14285714285714285</v>
      </c>
      <c r="EP20" s="21">
        <f t="shared" si="52"/>
        <v>0.8</v>
      </c>
    </row>
    <row r="21" spans="2:146" s="16" customFormat="1" ht="15.75" x14ac:dyDescent="0.25">
      <c r="B21" s="79" t="s">
        <v>19</v>
      </c>
      <c r="C21" s="79" t="s">
        <v>7</v>
      </c>
      <c r="D21" s="67">
        <v>2</v>
      </c>
      <c r="E21" s="67">
        <v>1</v>
      </c>
      <c r="F21" s="60">
        <v>2</v>
      </c>
      <c r="G21" s="59">
        <v>2</v>
      </c>
      <c r="H21" s="59">
        <v>2</v>
      </c>
      <c r="I21" s="60">
        <v>1</v>
      </c>
      <c r="J21" s="59">
        <v>2</v>
      </c>
      <c r="K21" s="59">
        <v>3</v>
      </c>
      <c r="L21" s="60">
        <v>0.66666666666666663</v>
      </c>
      <c r="M21" s="11">
        <v>2</v>
      </c>
      <c r="N21" s="11">
        <v>3</v>
      </c>
      <c r="O21" s="10">
        <v>0.66666666666666663</v>
      </c>
      <c r="P21" s="13">
        <f t="shared" si="0"/>
        <v>0.23333333333333339</v>
      </c>
      <c r="Q21" s="56">
        <f t="shared" si="1"/>
        <v>0.70000000000000018</v>
      </c>
      <c r="R21" s="12">
        <f t="shared" si="51"/>
        <v>7.0000000000000021E-2</v>
      </c>
      <c r="S21" s="56">
        <f t="shared" si="2"/>
        <v>0.21000000000000008</v>
      </c>
      <c r="T21" s="14">
        <f t="shared" si="3"/>
        <v>0.73666666666666669</v>
      </c>
      <c r="U21" s="15">
        <f t="shared" si="23"/>
        <v>2.21</v>
      </c>
      <c r="V21" s="15">
        <f t="shared" si="24"/>
        <v>3</v>
      </c>
      <c r="X21" s="79" t="s">
        <v>19</v>
      </c>
      <c r="Y21" s="79" t="s">
        <v>7</v>
      </c>
      <c r="Z21" s="67">
        <v>1446</v>
      </c>
      <c r="AA21" s="67">
        <v>1588</v>
      </c>
      <c r="AB21" s="99">
        <v>0.91057934508816119</v>
      </c>
      <c r="AC21" s="9">
        <v>1449</v>
      </c>
      <c r="AD21" s="9">
        <v>2127</v>
      </c>
      <c r="AE21" s="10">
        <f t="shared" si="25"/>
        <v>0.68124118476727791</v>
      </c>
      <c r="AF21" s="13">
        <f t="shared" si="4"/>
        <v>0.11875881523272214</v>
      </c>
      <c r="AG21" s="56">
        <f t="shared" si="26"/>
        <v>252.6</v>
      </c>
      <c r="AH21" s="13">
        <f t="shared" si="27"/>
        <v>2.9689703808180534E-2</v>
      </c>
      <c r="AI21" s="56">
        <f t="shared" si="28"/>
        <v>63.15</v>
      </c>
      <c r="AJ21" s="14">
        <f t="shared" si="29"/>
        <v>0.71093088857545839</v>
      </c>
      <c r="AK21" s="15">
        <f t="shared" si="30"/>
        <v>1512.15</v>
      </c>
      <c r="AL21" s="15">
        <f t="shared" si="31"/>
        <v>2127</v>
      </c>
      <c r="AN21" s="79" t="s">
        <v>19</v>
      </c>
      <c r="AO21" s="79" t="s">
        <v>7</v>
      </c>
      <c r="AP21" s="71">
        <v>120</v>
      </c>
      <c r="AQ21" s="71">
        <v>739</v>
      </c>
      <c r="AR21" s="72">
        <v>0.16238159675236807</v>
      </c>
      <c r="AS21" s="59">
        <v>162</v>
      </c>
      <c r="AT21" s="59">
        <v>739</v>
      </c>
      <c r="AU21" s="72">
        <v>0.21921515561569688</v>
      </c>
      <c r="AV21" s="11">
        <v>210</v>
      </c>
      <c r="AW21" s="11">
        <v>739</v>
      </c>
      <c r="AX21" s="17">
        <v>0.28416779431664413</v>
      </c>
      <c r="AY21" s="13">
        <f t="shared" si="5"/>
        <v>6.5832205683355849E-2</v>
      </c>
      <c r="AZ21" s="56">
        <f t="shared" si="6"/>
        <v>48.64999999999997</v>
      </c>
      <c r="BA21" s="13">
        <f t="shared" si="32"/>
        <v>3.2916102841677924E-2</v>
      </c>
      <c r="BB21" s="56">
        <f t="shared" si="7"/>
        <v>24.324999999999985</v>
      </c>
      <c r="BC21" s="53">
        <f t="shared" si="8"/>
        <v>0.31708389715832208</v>
      </c>
      <c r="BD21" s="15">
        <f t="shared" si="33"/>
        <v>234.32500000000002</v>
      </c>
      <c r="BE21" s="15">
        <v>739</v>
      </c>
      <c r="BG21" s="79" t="s">
        <v>19</v>
      </c>
      <c r="BH21" s="79" t="s">
        <v>7</v>
      </c>
      <c r="BI21" s="67">
        <v>10</v>
      </c>
      <c r="BJ21" s="67">
        <v>86</v>
      </c>
      <c r="BK21" s="82">
        <f t="shared" si="34"/>
        <v>0.11627906976744186</v>
      </c>
      <c r="BL21" s="59">
        <v>11</v>
      </c>
      <c r="BM21" s="83">
        <v>367.5</v>
      </c>
      <c r="BN21" s="84">
        <v>0.12790697674418605</v>
      </c>
      <c r="BO21" s="9">
        <v>18</v>
      </c>
      <c r="BP21" s="9">
        <v>86</v>
      </c>
      <c r="BQ21" s="10">
        <v>0.20930232558139536</v>
      </c>
      <c r="BR21" s="13" t="str">
        <f t="shared" si="9"/>
        <v>-</v>
      </c>
      <c r="BS21" s="55" t="str">
        <f t="shared" si="10"/>
        <v>-</v>
      </c>
      <c r="BT21" s="13" t="str">
        <f t="shared" si="35"/>
        <v>-</v>
      </c>
      <c r="BU21" s="55" t="str">
        <f t="shared" si="11"/>
        <v>-</v>
      </c>
      <c r="BV21" s="52">
        <f t="shared" si="12"/>
        <v>0.20930232558139536</v>
      </c>
      <c r="BW21" s="15">
        <f t="shared" si="36"/>
        <v>18</v>
      </c>
      <c r="BX21" s="15">
        <f t="shared" si="37"/>
        <v>86</v>
      </c>
      <c r="BZ21" s="79" t="s">
        <v>19</v>
      </c>
      <c r="CA21" s="79" t="s">
        <v>7</v>
      </c>
      <c r="CB21" s="71">
        <v>100</v>
      </c>
      <c r="CC21" s="96">
        <v>842</v>
      </c>
      <c r="CD21" s="82">
        <v>0.11876484560570071</v>
      </c>
      <c r="CE21" s="20">
        <v>140</v>
      </c>
      <c r="CF21" s="20">
        <v>972.82500000000005</v>
      </c>
      <c r="CG21" s="18">
        <v>0.14391077531930202</v>
      </c>
      <c r="CH21" s="13">
        <f t="shared" si="13"/>
        <v>0.13608922468069801</v>
      </c>
      <c r="CI21" s="56">
        <f t="shared" si="14"/>
        <v>132.39100000000005</v>
      </c>
      <c r="CJ21" s="13">
        <f t="shared" si="38"/>
        <v>4.0826767404209402E-2</v>
      </c>
      <c r="CK21" s="56">
        <f t="shared" si="15"/>
        <v>39.717300000000016</v>
      </c>
      <c r="CL21" s="14">
        <f t="shared" si="16"/>
        <v>0.18473754272351142</v>
      </c>
      <c r="CM21" s="15">
        <f t="shared" si="39"/>
        <v>179.71729999999999</v>
      </c>
      <c r="CN21" s="15">
        <f t="shared" si="40"/>
        <v>972.82500000000005</v>
      </c>
      <c r="CP21" s="79" t="s">
        <v>19</v>
      </c>
      <c r="CQ21" s="79" t="s">
        <v>7</v>
      </c>
      <c r="CR21" s="16">
        <v>333</v>
      </c>
      <c r="CS21" s="16">
        <v>725</v>
      </c>
      <c r="CT21" s="108">
        <v>0.4593103448275862</v>
      </c>
      <c r="CU21" s="8">
        <v>419</v>
      </c>
      <c r="CV21" s="8">
        <v>804</v>
      </c>
      <c r="CW21" s="18">
        <v>0.52114427860696522</v>
      </c>
      <c r="CX21" s="13">
        <f t="shared" si="17"/>
        <v>0.37885572139303481</v>
      </c>
      <c r="CY21" s="13">
        <f t="shared" si="41"/>
        <v>0.1894278606965174</v>
      </c>
      <c r="CZ21" s="14">
        <f t="shared" si="18"/>
        <v>0.71057213930348262</v>
      </c>
      <c r="DA21" s="15">
        <f t="shared" si="42"/>
        <v>571.30000000000007</v>
      </c>
      <c r="DB21" s="15">
        <f t="shared" si="43"/>
        <v>804</v>
      </c>
      <c r="DD21" s="79" t="s">
        <v>19</v>
      </c>
      <c r="DE21" s="79" t="s">
        <v>7</v>
      </c>
      <c r="DF21" s="71">
        <v>1173</v>
      </c>
      <c r="DG21" s="96">
        <v>1639</v>
      </c>
      <c r="DH21" s="82">
        <v>0.71568029286150092</v>
      </c>
      <c r="DI21" s="102">
        <v>1184</v>
      </c>
      <c r="DJ21" s="35">
        <v>2225.3449999999998</v>
      </c>
      <c r="DK21" s="18">
        <v>0.53205233345840763</v>
      </c>
      <c r="DL21" s="13" t="str">
        <f t="shared" si="19"/>
        <v>-</v>
      </c>
      <c r="DM21" s="13" t="str">
        <f t="shared" si="44"/>
        <v>-</v>
      </c>
      <c r="DN21" s="52">
        <f t="shared" si="20"/>
        <v>0.53205233345840763</v>
      </c>
      <c r="DO21" s="15">
        <f t="shared" si="45"/>
        <v>1184</v>
      </c>
      <c r="DP21" s="15">
        <f t="shared" si="46"/>
        <v>2225.3449999999998</v>
      </c>
      <c r="DR21" s="79" t="s">
        <v>19</v>
      </c>
      <c r="DS21" s="79" t="s">
        <v>7</v>
      </c>
      <c r="DT21" s="71">
        <v>29</v>
      </c>
      <c r="DU21" s="71">
        <v>42</v>
      </c>
      <c r="DV21" s="82">
        <v>0.69047619047619047</v>
      </c>
      <c r="DW21" s="71">
        <v>12</v>
      </c>
      <c r="DX21" s="71">
        <v>16</v>
      </c>
      <c r="DY21" s="82">
        <v>0.75</v>
      </c>
      <c r="DZ21" s="59">
        <v>16</v>
      </c>
      <c r="EA21" s="59">
        <v>22</v>
      </c>
      <c r="EB21" s="84">
        <v>0.72727272727272729</v>
      </c>
      <c r="EC21" s="9">
        <v>19</v>
      </c>
      <c r="ED21" s="9">
        <v>25</v>
      </c>
      <c r="EE21" s="19">
        <f t="shared" si="47"/>
        <v>0.76</v>
      </c>
      <c r="EF21" s="13" t="str">
        <f t="shared" si="21"/>
        <v>-</v>
      </c>
      <c r="EG21" s="13" t="str">
        <f t="shared" si="48"/>
        <v>-</v>
      </c>
      <c r="EH21" s="52">
        <f t="shared" si="22"/>
        <v>0.76</v>
      </c>
      <c r="EI21" s="15">
        <f t="shared" si="49"/>
        <v>19</v>
      </c>
      <c r="EJ21" s="15">
        <f t="shared" si="50"/>
        <v>25</v>
      </c>
      <c r="EL21" s="71" t="s">
        <v>19</v>
      </c>
      <c r="EM21" s="71" t="s">
        <v>7</v>
      </c>
      <c r="EN21" s="12">
        <v>0.8</v>
      </c>
      <c r="EO21" s="13">
        <v>0.7</v>
      </c>
      <c r="EP21" s="21">
        <f t="shared" si="52"/>
        <v>0.8</v>
      </c>
    </row>
    <row r="22" spans="2:146" s="16" customFormat="1" ht="15.75" x14ac:dyDescent="0.25">
      <c r="B22" s="79" t="s">
        <v>20</v>
      </c>
      <c r="C22" s="79" t="s">
        <v>7</v>
      </c>
      <c r="D22" s="67">
        <v>0</v>
      </c>
      <c r="E22" s="67">
        <v>2</v>
      </c>
      <c r="F22" s="60">
        <v>0</v>
      </c>
      <c r="G22" s="59">
        <v>0</v>
      </c>
      <c r="H22" s="59">
        <v>3</v>
      </c>
      <c r="I22" s="60">
        <v>0</v>
      </c>
      <c r="J22" s="59">
        <v>0</v>
      </c>
      <c r="K22" s="59">
        <v>3</v>
      </c>
      <c r="L22" s="60">
        <v>0</v>
      </c>
      <c r="M22" s="11">
        <v>0</v>
      </c>
      <c r="N22" s="11">
        <v>3</v>
      </c>
      <c r="O22" s="10">
        <v>0</v>
      </c>
      <c r="P22" s="13">
        <f t="shared" si="0"/>
        <v>0.9</v>
      </c>
      <c r="Q22" s="56">
        <f t="shared" si="1"/>
        <v>2.7</v>
      </c>
      <c r="R22" s="12">
        <f t="shared" si="51"/>
        <v>0.27</v>
      </c>
      <c r="S22" s="56">
        <f t="shared" si="2"/>
        <v>0.81</v>
      </c>
      <c r="T22" s="14">
        <f t="shared" si="3"/>
        <v>0.27</v>
      </c>
      <c r="U22" s="15">
        <f t="shared" si="23"/>
        <v>0.81</v>
      </c>
      <c r="V22" s="15">
        <f t="shared" si="24"/>
        <v>3</v>
      </c>
      <c r="X22" s="79" t="s">
        <v>20</v>
      </c>
      <c r="Y22" s="79" t="s">
        <v>7</v>
      </c>
      <c r="Z22" s="67">
        <v>808</v>
      </c>
      <c r="AA22" s="67">
        <v>871</v>
      </c>
      <c r="AB22" s="99">
        <v>0.9276693455797933</v>
      </c>
      <c r="AC22" s="9">
        <v>696</v>
      </c>
      <c r="AD22" s="9">
        <v>1316</v>
      </c>
      <c r="AE22" s="10">
        <f t="shared" si="25"/>
        <v>0.52887537993920974</v>
      </c>
      <c r="AF22" s="13">
        <f t="shared" si="4"/>
        <v>0.2711246200607903</v>
      </c>
      <c r="AG22" s="56">
        <f t="shared" si="26"/>
        <v>356.8</v>
      </c>
      <c r="AH22" s="13">
        <f t="shared" si="27"/>
        <v>6.7781155015197575E-2</v>
      </c>
      <c r="AI22" s="56">
        <f t="shared" si="28"/>
        <v>89.2</v>
      </c>
      <c r="AJ22" s="14">
        <f t="shared" si="29"/>
        <v>0.59665653495440729</v>
      </c>
      <c r="AK22" s="15">
        <f t="shared" si="30"/>
        <v>785.2</v>
      </c>
      <c r="AL22" s="15">
        <f t="shared" si="31"/>
        <v>1316</v>
      </c>
      <c r="AN22" s="79" t="s">
        <v>20</v>
      </c>
      <c r="AO22" s="79" t="s">
        <v>7</v>
      </c>
      <c r="AP22" s="71">
        <v>10</v>
      </c>
      <c r="AQ22" s="71">
        <v>486</v>
      </c>
      <c r="AR22" s="72">
        <v>2.0576131687242798E-2</v>
      </c>
      <c r="AS22" s="59">
        <v>19</v>
      </c>
      <c r="AT22" s="59">
        <v>486</v>
      </c>
      <c r="AU22" s="72">
        <v>3.9094650205761319E-2</v>
      </c>
      <c r="AV22" s="11">
        <v>20</v>
      </c>
      <c r="AW22" s="11">
        <v>486</v>
      </c>
      <c r="AX22" s="17">
        <v>4.1152263374485597E-2</v>
      </c>
      <c r="AY22" s="13">
        <f t="shared" si="5"/>
        <v>0.3088477366255144</v>
      </c>
      <c r="AZ22" s="56">
        <f t="shared" si="6"/>
        <v>150.1</v>
      </c>
      <c r="BA22" s="13">
        <f t="shared" si="32"/>
        <v>0.1544238683127572</v>
      </c>
      <c r="BB22" s="56">
        <f t="shared" si="7"/>
        <v>75.05</v>
      </c>
      <c r="BC22" s="53">
        <f t="shared" si="8"/>
        <v>0.1955761316872428</v>
      </c>
      <c r="BD22" s="15">
        <f t="shared" si="33"/>
        <v>95.05</v>
      </c>
      <c r="BE22" s="15">
        <v>486</v>
      </c>
      <c r="BG22" s="79" t="s">
        <v>20</v>
      </c>
      <c r="BH22" s="79" t="s">
        <v>7</v>
      </c>
      <c r="BI22" s="67">
        <v>0</v>
      </c>
      <c r="BJ22" s="67">
        <v>61</v>
      </c>
      <c r="BK22" s="82">
        <f t="shared" si="34"/>
        <v>0</v>
      </c>
      <c r="BL22" s="59">
        <v>1</v>
      </c>
      <c r="BM22" s="83">
        <v>321.25</v>
      </c>
      <c r="BN22" s="84">
        <v>1.6393442622950821E-2</v>
      </c>
      <c r="BO22" s="9">
        <v>1</v>
      </c>
      <c r="BP22" s="9">
        <v>61</v>
      </c>
      <c r="BQ22" s="10">
        <v>1.6393442622950821E-2</v>
      </c>
      <c r="BR22" s="13">
        <f t="shared" si="9"/>
        <v>9.3606557377049177E-2</v>
      </c>
      <c r="BS22" s="56">
        <f t="shared" si="10"/>
        <v>5.71</v>
      </c>
      <c r="BT22" s="13">
        <f t="shared" si="35"/>
        <v>4.6803278688524588E-2</v>
      </c>
      <c r="BU22" s="56">
        <f t="shared" si="11"/>
        <v>2.855</v>
      </c>
      <c r="BV22" s="53">
        <f t="shared" si="12"/>
        <v>6.3196721311475412E-2</v>
      </c>
      <c r="BW22" s="15">
        <f t="shared" si="36"/>
        <v>3.855</v>
      </c>
      <c r="BX22" s="15">
        <f t="shared" si="37"/>
        <v>61</v>
      </c>
      <c r="BZ22" s="79" t="s">
        <v>20</v>
      </c>
      <c r="CA22" s="79" t="s">
        <v>7</v>
      </c>
      <c r="CB22" s="71">
        <v>158</v>
      </c>
      <c r="CC22" s="96">
        <v>485.75</v>
      </c>
      <c r="CD22" s="82">
        <v>0.32527020072053525</v>
      </c>
      <c r="CE22" s="20">
        <v>81</v>
      </c>
      <c r="CF22" s="20">
        <v>541.101</v>
      </c>
      <c r="CG22" s="18">
        <v>0.14969478895806881</v>
      </c>
      <c r="CH22" s="13">
        <f t="shared" si="13"/>
        <v>0.13030521104193121</v>
      </c>
      <c r="CI22" s="56">
        <f t="shared" si="14"/>
        <v>70.508280000000028</v>
      </c>
      <c r="CJ22" s="13">
        <f t="shared" si="38"/>
        <v>3.9091563312579361E-2</v>
      </c>
      <c r="CK22" s="56">
        <f t="shared" si="15"/>
        <v>21.152484000000005</v>
      </c>
      <c r="CL22" s="14">
        <f t="shared" si="16"/>
        <v>0.18878635227064816</v>
      </c>
      <c r="CM22" s="15">
        <f t="shared" si="39"/>
        <v>102.15248399999999</v>
      </c>
      <c r="CN22" s="15">
        <f t="shared" si="40"/>
        <v>541.101</v>
      </c>
      <c r="CP22" s="79" t="s">
        <v>20</v>
      </c>
      <c r="CQ22" s="79" t="s">
        <v>7</v>
      </c>
      <c r="CR22" s="16">
        <v>145</v>
      </c>
      <c r="CS22" s="16">
        <v>495</v>
      </c>
      <c r="CT22" s="108">
        <v>0.29292929292929293</v>
      </c>
      <c r="CU22" s="8">
        <v>227</v>
      </c>
      <c r="CV22" s="8">
        <v>280</v>
      </c>
      <c r="CW22" s="18">
        <v>0.81071428571428572</v>
      </c>
      <c r="CX22" s="13">
        <f t="shared" si="17"/>
        <v>8.9285714285714302E-2</v>
      </c>
      <c r="CY22" s="13">
        <f t="shared" si="41"/>
        <v>4.4642857142857151E-2</v>
      </c>
      <c r="CZ22" s="14">
        <f t="shared" si="18"/>
        <v>0.85535714285714293</v>
      </c>
      <c r="DA22" s="15">
        <f t="shared" si="42"/>
        <v>239.50000000000003</v>
      </c>
      <c r="DB22" s="15">
        <f t="shared" si="43"/>
        <v>280</v>
      </c>
      <c r="DD22" s="79" t="s">
        <v>20</v>
      </c>
      <c r="DE22" s="79" t="s">
        <v>7</v>
      </c>
      <c r="DF22" s="71">
        <v>758</v>
      </c>
      <c r="DG22" s="96">
        <v>921.19399999999996</v>
      </c>
      <c r="DH22" s="82">
        <v>0.82284513359835176</v>
      </c>
      <c r="DI22" s="8">
        <v>360</v>
      </c>
      <c r="DJ22" s="35">
        <v>1230.0729999999999</v>
      </c>
      <c r="DK22" s="18">
        <v>0.29266555724741544</v>
      </c>
      <c r="DL22" s="13">
        <f t="shared" si="19"/>
        <v>0.13733444275258455</v>
      </c>
      <c r="DM22" s="13">
        <f t="shared" si="44"/>
        <v>4.1200332825775364E-2</v>
      </c>
      <c r="DN22" s="14">
        <f t="shared" si="20"/>
        <v>0.33386589007319079</v>
      </c>
      <c r="DO22" s="15">
        <f t="shared" si="45"/>
        <v>410.67941699999994</v>
      </c>
      <c r="DP22" s="15">
        <f t="shared" si="46"/>
        <v>1230.0729999999999</v>
      </c>
      <c r="DR22" s="79" t="s">
        <v>20</v>
      </c>
      <c r="DS22" s="79" t="s">
        <v>7</v>
      </c>
      <c r="DT22" s="71">
        <v>27</v>
      </c>
      <c r="DU22" s="71">
        <v>33</v>
      </c>
      <c r="DV22" s="82">
        <v>0.81818181818181823</v>
      </c>
      <c r="DW22" s="71">
        <v>12</v>
      </c>
      <c r="DX22" s="71">
        <v>16</v>
      </c>
      <c r="DY22" s="82">
        <v>0.75</v>
      </c>
      <c r="DZ22" s="59">
        <v>19</v>
      </c>
      <c r="EA22" s="59">
        <v>23</v>
      </c>
      <c r="EB22" s="84">
        <v>0.82608695652173914</v>
      </c>
      <c r="EC22" s="9">
        <v>19</v>
      </c>
      <c r="ED22" s="9">
        <v>23</v>
      </c>
      <c r="EE22" s="19">
        <f t="shared" si="47"/>
        <v>0.82608695652173914</v>
      </c>
      <c r="EF22" s="13" t="str">
        <f t="shared" si="21"/>
        <v>-</v>
      </c>
      <c r="EG22" s="13" t="str">
        <f t="shared" si="48"/>
        <v>-</v>
      </c>
      <c r="EH22" s="52">
        <f t="shared" si="22"/>
        <v>0.82608695652173914</v>
      </c>
      <c r="EI22" s="15">
        <f t="shared" si="49"/>
        <v>19</v>
      </c>
      <c r="EJ22" s="15">
        <f t="shared" si="50"/>
        <v>23</v>
      </c>
      <c r="EL22" s="71" t="s">
        <v>20</v>
      </c>
      <c r="EM22" s="71" t="s">
        <v>7</v>
      </c>
      <c r="EN22" s="12">
        <v>0.8</v>
      </c>
      <c r="EO22" s="13">
        <v>0.18181818181818182</v>
      </c>
      <c r="EP22" s="21">
        <f t="shared" si="52"/>
        <v>0.8</v>
      </c>
    </row>
    <row r="23" spans="2:146" s="16" customFormat="1" ht="15.75" x14ac:dyDescent="0.25">
      <c r="B23" s="79" t="s">
        <v>21</v>
      </c>
      <c r="C23" s="79" t="s">
        <v>7</v>
      </c>
      <c r="D23" s="67">
        <v>0</v>
      </c>
      <c r="E23" s="67">
        <v>4</v>
      </c>
      <c r="F23" s="60">
        <v>0</v>
      </c>
      <c r="G23" s="59">
        <v>2</v>
      </c>
      <c r="H23" s="59">
        <v>6</v>
      </c>
      <c r="I23" s="60">
        <v>0.33333333333333331</v>
      </c>
      <c r="J23" s="59">
        <v>3</v>
      </c>
      <c r="K23" s="59">
        <v>6</v>
      </c>
      <c r="L23" s="60">
        <v>0.5</v>
      </c>
      <c r="M23" s="11">
        <v>3</v>
      </c>
      <c r="N23" s="11">
        <v>6</v>
      </c>
      <c r="O23" s="10">
        <v>0.5</v>
      </c>
      <c r="P23" s="13">
        <f t="shared" si="0"/>
        <v>0.4</v>
      </c>
      <c r="Q23" s="56">
        <f t="shared" si="1"/>
        <v>2.4000000000000004</v>
      </c>
      <c r="R23" s="12">
        <f t="shared" si="51"/>
        <v>0.12</v>
      </c>
      <c r="S23" s="56">
        <f t="shared" si="2"/>
        <v>0.72</v>
      </c>
      <c r="T23" s="14">
        <f t="shared" si="3"/>
        <v>0.62</v>
      </c>
      <c r="U23" s="15">
        <f t="shared" si="23"/>
        <v>3.7199999999999998</v>
      </c>
      <c r="V23" s="15">
        <f t="shared" si="24"/>
        <v>6</v>
      </c>
      <c r="X23" s="79" t="s">
        <v>21</v>
      </c>
      <c r="Y23" s="79" t="s">
        <v>7</v>
      </c>
      <c r="Z23" s="67">
        <v>643</v>
      </c>
      <c r="AA23" s="67">
        <v>762</v>
      </c>
      <c r="AB23" s="99">
        <v>0.84383202099737531</v>
      </c>
      <c r="AC23" s="9">
        <v>646</v>
      </c>
      <c r="AD23" s="9">
        <v>1205</v>
      </c>
      <c r="AE23" s="10">
        <f t="shared" si="25"/>
        <v>0.53609958506224065</v>
      </c>
      <c r="AF23" s="13">
        <f t="shared" si="4"/>
        <v>0.2639004149377594</v>
      </c>
      <c r="AG23" s="56">
        <f t="shared" si="26"/>
        <v>318.00000000000006</v>
      </c>
      <c r="AH23" s="13">
        <f t="shared" si="27"/>
        <v>6.5975103734439849E-2</v>
      </c>
      <c r="AI23" s="56">
        <f t="shared" si="28"/>
        <v>79.500000000000014</v>
      </c>
      <c r="AJ23" s="14">
        <f t="shared" si="29"/>
        <v>0.60207468879668047</v>
      </c>
      <c r="AK23" s="15">
        <f t="shared" si="30"/>
        <v>725.5</v>
      </c>
      <c r="AL23" s="15">
        <f t="shared" si="31"/>
        <v>1205</v>
      </c>
      <c r="AN23" s="79" t="s">
        <v>21</v>
      </c>
      <c r="AO23" s="79" t="s">
        <v>7</v>
      </c>
      <c r="AP23" s="71">
        <v>56</v>
      </c>
      <c r="AQ23" s="71">
        <v>409</v>
      </c>
      <c r="AR23" s="72">
        <v>0.13691931540342298</v>
      </c>
      <c r="AS23" s="59">
        <v>88</v>
      </c>
      <c r="AT23" s="59">
        <v>409</v>
      </c>
      <c r="AU23" s="72">
        <v>0.21515892420537897</v>
      </c>
      <c r="AV23" s="11">
        <v>100</v>
      </c>
      <c r="AW23" s="11">
        <v>409</v>
      </c>
      <c r="AX23" s="17">
        <v>0.24449877750611246</v>
      </c>
      <c r="AY23" s="13">
        <f t="shared" si="5"/>
        <v>0.10550122249388752</v>
      </c>
      <c r="AZ23" s="56">
        <f t="shared" si="6"/>
        <v>43.15</v>
      </c>
      <c r="BA23" s="13">
        <f t="shared" si="32"/>
        <v>5.275061124694376E-2</v>
      </c>
      <c r="BB23" s="56">
        <f t="shared" si="7"/>
        <v>21.574999999999999</v>
      </c>
      <c r="BC23" s="53">
        <f t="shared" si="8"/>
        <v>0.29724938875305623</v>
      </c>
      <c r="BD23" s="15">
        <f t="shared" si="33"/>
        <v>121.575</v>
      </c>
      <c r="BE23" s="15">
        <v>409</v>
      </c>
      <c r="BG23" s="79" t="s">
        <v>21</v>
      </c>
      <c r="BH23" s="79" t="s">
        <v>7</v>
      </c>
      <c r="BI23" s="67">
        <v>5</v>
      </c>
      <c r="BJ23" s="67">
        <v>45</v>
      </c>
      <c r="BK23" s="82">
        <f t="shared" si="34"/>
        <v>0.1111111111111111</v>
      </c>
      <c r="BL23" s="59">
        <v>5</v>
      </c>
      <c r="BM23" s="83">
        <v>46.25</v>
      </c>
      <c r="BN23" s="84">
        <v>0.1111111111111111</v>
      </c>
      <c r="BO23" s="9">
        <v>5</v>
      </c>
      <c r="BP23" s="9">
        <v>45</v>
      </c>
      <c r="BQ23" s="10">
        <v>0.1111111111111111</v>
      </c>
      <c r="BR23" s="13" t="str">
        <f t="shared" si="9"/>
        <v>-</v>
      </c>
      <c r="BS23" s="55" t="str">
        <f t="shared" si="10"/>
        <v>-</v>
      </c>
      <c r="BT23" s="13" t="str">
        <f t="shared" si="35"/>
        <v>-</v>
      </c>
      <c r="BU23" s="55" t="str">
        <f t="shared" si="11"/>
        <v>-</v>
      </c>
      <c r="BV23" s="52">
        <f t="shared" si="12"/>
        <v>0.1111111111111111</v>
      </c>
      <c r="BW23" s="15">
        <f t="shared" si="36"/>
        <v>5</v>
      </c>
      <c r="BX23" s="15">
        <f t="shared" si="37"/>
        <v>45</v>
      </c>
      <c r="BZ23" s="79" t="s">
        <v>21</v>
      </c>
      <c r="CA23" s="79" t="s">
        <v>7</v>
      </c>
      <c r="CB23" s="71">
        <v>0</v>
      </c>
      <c r="CC23" s="96">
        <v>424.75</v>
      </c>
      <c r="CD23" s="82">
        <v>0</v>
      </c>
      <c r="CE23" s="20">
        <v>85</v>
      </c>
      <c r="CF23" s="20">
        <v>462.68399999999997</v>
      </c>
      <c r="CG23" s="18">
        <v>0.18371069671741405</v>
      </c>
      <c r="CH23" s="13">
        <f t="shared" si="13"/>
        <v>9.6289303282585975E-2</v>
      </c>
      <c r="CI23" s="56">
        <f t="shared" si="14"/>
        <v>44.551520000000004</v>
      </c>
      <c r="CJ23" s="13">
        <f t="shared" si="38"/>
        <v>2.8886790984775791E-2</v>
      </c>
      <c r="CK23" s="56">
        <f t="shared" si="15"/>
        <v>13.365456000000002</v>
      </c>
      <c r="CL23" s="14">
        <f t="shared" si="16"/>
        <v>0.21259748770218984</v>
      </c>
      <c r="CM23" s="15">
        <f t="shared" si="39"/>
        <v>98.365455999999995</v>
      </c>
      <c r="CN23" s="15">
        <f t="shared" si="40"/>
        <v>462.68399999999997</v>
      </c>
      <c r="CP23" s="79" t="s">
        <v>21</v>
      </c>
      <c r="CQ23" s="79" t="s">
        <v>7</v>
      </c>
      <c r="CR23" s="16">
        <v>91</v>
      </c>
      <c r="CS23" s="16">
        <v>414</v>
      </c>
      <c r="CT23" s="108">
        <v>0.21980676328502416</v>
      </c>
      <c r="CU23" s="8">
        <v>280</v>
      </c>
      <c r="CV23" s="8">
        <v>431</v>
      </c>
      <c r="CW23" s="18">
        <v>0.64965197215777259</v>
      </c>
      <c r="CX23" s="13">
        <f t="shared" si="17"/>
        <v>0.25034802784222743</v>
      </c>
      <c r="CY23" s="13">
        <f t="shared" si="41"/>
        <v>0.12517401392111371</v>
      </c>
      <c r="CZ23" s="14">
        <f t="shared" si="18"/>
        <v>0.77482598607888631</v>
      </c>
      <c r="DA23" s="15">
        <f t="shared" si="42"/>
        <v>333.95</v>
      </c>
      <c r="DB23" s="15">
        <f t="shared" si="43"/>
        <v>431</v>
      </c>
      <c r="DD23" s="79" t="s">
        <v>21</v>
      </c>
      <c r="DE23" s="79" t="s">
        <v>7</v>
      </c>
      <c r="DF23" s="71">
        <v>0</v>
      </c>
      <c r="DG23" s="96">
        <v>797.86899999999991</v>
      </c>
      <c r="DH23" s="82">
        <v>0</v>
      </c>
      <c r="DI23" s="8">
        <v>271</v>
      </c>
      <c r="DJ23" s="35">
        <v>1044.607</v>
      </c>
      <c r="DK23" s="18">
        <v>0.25942770821945477</v>
      </c>
      <c r="DL23" s="13">
        <f t="shared" si="19"/>
        <v>0.17057229178054523</v>
      </c>
      <c r="DM23" s="13">
        <f t="shared" si="44"/>
        <v>5.1171687534163568E-2</v>
      </c>
      <c r="DN23" s="14">
        <f t="shared" si="20"/>
        <v>0.31059939575361833</v>
      </c>
      <c r="DO23" s="15">
        <f t="shared" si="45"/>
        <v>324.45430299999998</v>
      </c>
      <c r="DP23" s="15">
        <f t="shared" si="46"/>
        <v>1044.607</v>
      </c>
      <c r="DR23" s="79" t="s">
        <v>21</v>
      </c>
      <c r="DS23" s="79" t="s">
        <v>7</v>
      </c>
      <c r="DT23" s="71">
        <v>15</v>
      </c>
      <c r="DU23" s="71">
        <v>23</v>
      </c>
      <c r="DV23" s="82">
        <v>0.65217391304347827</v>
      </c>
      <c r="DW23" s="71">
        <v>17</v>
      </c>
      <c r="DX23" s="71">
        <v>18</v>
      </c>
      <c r="DY23" s="82">
        <v>0.94444444444444442</v>
      </c>
      <c r="DZ23" s="59">
        <v>25</v>
      </c>
      <c r="EA23" s="59">
        <v>27</v>
      </c>
      <c r="EB23" s="84">
        <v>0.92592592592592593</v>
      </c>
      <c r="EC23" s="9">
        <v>26</v>
      </c>
      <c r="ED23" s="9">
        <v>28</v>
      </c>
      <c r="EE23" s="19">
        <f t="shared" si="47"/>
        <v>0.9285714285714286</v>
      </c>
      <c r="EF23" s="13" t="str">
        <f t="shared" si="21"/>
        <v>-</v>
      </c>
      <c r="EG23" s="13" t="str">
        <f t="shared" si="48"/>
        <v>-</v>
      </c>
      <c r="EH23" s="52">
        <f t="shared" si="22"/>
        <v>0.9285714285714286</v>
      </c>
      <c r="EI23" s="15">
        <f t="shared" si="49"/>
        <v>26</v>
      </c>
      <c r="EJ23" s="15">
        <f t="shared" si="50"/>
        <v>28</v>
      </c>
      <c r="EL23" s="71" t="s">
        <v>21</v>
      </c>
      <c r="EM23" s="71" t="s">
        <v>7</v>
      </c>
      <c r="EN23" s="12">
        <v>0.8</v>
      </c>
      <c r="EO23" s="13">
        <v>0.45454545454545453</v>
      </c>
      <c r="EP23" s="21">
        <f t="shared" si="52"/>
        <v>0.8</v>
      </c>
    </row>
    <row r="24" spans="2:146" s="16" customFormat="1" ht="15.75" x14ac:dyDescent="0.25">
      <c r="B24" s="79" t="s">
        <v>22</v>
      </c>
      <c r="C24" s="79" t="s">
        <v>7</v>
      </c>
      <c r="D24" s="67">
        <v>0</v>
      </c>
      <c r="E24" s="67">
        <v>0</v>
      </c>
      <c r="F24" s="60">
        <v>1</v>
      </c>
      <c r="G24" s="59">
        <v>0</v>
      </c>
      <c r="H24" s="59">
        <v>2</v>
      </c>
      <c r="I24" s="60">
        <v>0</v>
      </c>
      <c r="J24" s="59">
        <v>0</v>
      </c>
      <c r="K24" s="59">
        <v>2</v>
      </c>
      <c r="L24" s="60">
        <v>0</v>
      </c>
      <c r="M24" s="11">
        <v>0</v>
      </c>
      <c r="N24" s="11">
        <v>2</v>
      </c>
      <c r="O24" s="10">
        <v>0</v>
      </c>
      <c r="P24" s="13">
        <f t="shared" si="0"/>
        <v>0.9</v>
      </c>
      <c r="Q24" s="56">
        <f t="shared" si="1"/>
        <v>1.8</v>
      </c>
      <c r="R24" s="12">
        <f t="shared" si="51"/>
        <v>0.27</v>
      </c>
      <c r="S24" s="56">
        <f t="shared" si="2"/>
        <v>0.54</v>
      </c>
      <c r="T24" s="14">
        <f t="shared" si="3"/>
        <v>0.27</v>
      </c>
      <c r="U24" s="15">
        <f t="shared" si="23"/>
        <v>0.54</v>
      </c>
      <c r="V24" s="15">
        <f t="shared" si="24"/>
        <v>2</v>
      </c>
      <c r="X24" s="79" t="s">
        <v>22</v>
      </c>
      <c r="Y24" s="79" t="s">
        <v>7</v>
      </c>
      <c r="Z24" s="67">
        <v>693</v>
      </c>
      <c r="AA24" s="67">
        <v>877</v>
      </c>
      <c r="AB24" s="99">
        <v>0.79019384264538195</v>
      </c>
      <c r="AC24" s="9">
        <v>693</v>
      </c>
      <c r="AD24" s="9">
        <v>1498</v>
      </c>
      <c r="AE24" s="10">
        <f t="shared" si="25"/>
        <v>0.46261682242990654</v>
      </c>
      <c r="AF24" s="13">
        <f t="shared" si="4"/>
        <v>0.33738317757009351</v>
      </c>
      <c r="AG24" s="56">
        <f t="shared" si="26"/>
        <v>505.40000000000009</v>
      </c>
      <c r="AH24" s="13">
        <f t="shared" si="27"/>
        <v>8.4345794392523377E-2</v>
      </c>
      <c r="AI24" s="56">
        <f t="shared" si="28"/>
        <v>126.35000000000002</v>
      </c>
      <c r="AJ24" s="14">
        <f t="shared" si="29"/>
        <v>0.54696261682242997</v>
      </c>
      <c r="AK24" s="15">
        <f t="shared" si="30"/>
        <v>819.35000000000014</v>
      </c>
      <c r="AL24" s="15">
        <f t="shared" si="31"/>
        <v>1498</v>
      </c>
      <c r="AN24" s="79" t="s">
        <v>22</v>
      </c>
      <c r="AO24" s="79" t="s">
        <v>7</v>
      </c>
      <c r="AP24" s="71">
        <v>70</v>
      </c>
      <c r="AQ24" s="71">
        <v>298</v>
      </c>
      <c r="AR24" s="72">
        <v>0.2348993288590604</v>
      </c>
      <c r="AS24" s="59">
        <v>101</v>
      </c>
      <c r="AT24" s="59">
        <v>298</v>
      </c>
      <c r="AU24" s="72">
        <v>0.33892617449664431</v>
      </c>
      <c r="AV24" s="11">
        <v>123</v>
      </c>
      <c r="AW24" s="11">
        <v>298</v>
      </c>
      <c r="AX24" s="17">
        <v>0.41275167785234901</v>
      </c>
      <c r="AY24" s="13" t="str">
        <f t="shared" si="5"/>
        <v>-</v>
      </c>
      <c r="AZ24" s="56" t="str">
        <f t="shared" si="6"/>
        <v>-</v>
      </c>
      <c r="BA24" s="13" t="str">
        <f t="shared" si="32"/>
        <v>-</v>
      </c>
      <c r="BB24" s="56" t="str">
        <f t="shared" si="7"/>
        <v>-</v>
      </c>
      <c r="BC24" s="52">
        <f t="shared" si="8"/>
        <v>0.41275167785234901</v>
      </c>
      <c r="BD24" s="15">
        <f t="shared" si="33"/>
        <v>123</v>
      </c>
      <c r="BE24" s="15">
        <v>298</v>
      </c>
      <c r="BG24" s="79" t="s">
        <v>22</v>
      </c>
      <c r="BH24" s="79" t="s">
        <v>7</v>
      </c>
      <c r="BI24" s="67">
        <v>2</v>
      </c>
      <c r="BJ24" s="67">
        <v>48</v>
      </c>
      <c r="BK24" s="82">
        <f t="shared" si="34"/>
        <v>4.1666666666666664E-2</v>
      </c>
      <c r="BL24" s="59">
        <v>5</v>
      </c>
      <c r="BM24" s="83">
        <v>631.75</v>
      </c>
      <c r="BN24" s="84">
        <v>0.10416666666666667</v>
      </c>
      <c r="BO24" s="9">
        <v>6</v>
      </c>
      <c r="BP24" s="9">
        <v>48</v>
      </c>
      <c r="BQ24" s="10">
        <v>0.125</v>
      </c>
      <c r="BR24" s="13" t="str">
        <f t="shared" si="9"/>
        <v>-</v>
      </c>
      <c r="BS24" s="55" t="str">
        <f t="shared" si="10"/>
        <v>-</v>
      </c>
      <c r="BT24" s="13" t="str">
        <f t="shared" si="35"/>
        <v>-</v>
      </c>
      <c r="BU24" s="55" t="str">
        <f t="shared" si="11"/>
        <v>-</v>
      </c>
      <c r="BV24" s="52">
        <f t="shared" si="12"/>
        <v>0.125</v>
      </c>
      <c r="BW24" s="15">
        <f t="shared" si="36"/>
        <v>6</v>
      </c>
      <c r="BX24" s="15">
        <f t="shared" si="37"/>
        <v>48</v>
      </c>
      <c r="BZ24" s="79" t="s">
        <v>22</v>
      </c>
      <c r="CA24" s="79" t="s">
        <v>7</v>
      </c>
      <c r="CB24" s="71">
        <v>155</v>
      </c>
      <c r="CC24" s="96">
        <v>577</v>
      </c>
      <c r="CD24" s="82">
        <v>0.268630849220104</v>
      </c>
      <c r="CE24" s="20">
        <v>174</v>
      </c>
      <c r="CF24" s="20">
        <v>681.68100000000004</v>
      </c>
      <c r="CG24" s="18">
        <v>0.25525135657294246</v>
      </c>
      <c r="CH24" s="13">
        <f t="shared" si="13"/>
        <v>2.4748643427057571E-2</v>
      </c>
      <c r="CI24" s="56">
        <f t="shared" si="14"/>
        <v>16.870680000000032</v>
      </c>
      <c r="CJ24" s="13">
        <f t="shared" si="38"/>
        <v>7.4245930281172708E-3</v>
      </c>
      <c r="CK24" s="56">
        <f t="shared" si="15"/>
        <v>5.0612040000000098</v>
      </c>
      <c r="CL24" s="14">
        <f t="shared" si="16"/>
        <v>0.26267594960105972</v>
      </c>
      <c r="CM24" s="15">
        <f t="shared" si="39"/>
        <v>179.061204</v>
      </c>
      <c r="CN24" s="15">
        <f t="shared" si="40"/>
        <v>681.68100000000004</v>
      </c>
      <c r="CP24" s="79" t="s">
        <v>22</v>
      </c>
      <c r="CQ24" s="79" t="s">
        <v>7</v>
      </c>
      <c r="CR24" s="16">
        <v>281</v>
      </c>
      <c r="CS24" s="16">
        <v>420</v>
      </c>
      <c r="CT24" s="108">
        <v>0.669047619047619</v>
      </c>
      <c r="CU24" s="8">
        <v>263</v>
      </c>
      <c r="CV24" s="8">
        <v>405</v>
      </c>
      <c r="CW24" s="18">
        <v>0.64938271604938269</v>
      </c>
      <c r="CX24" s="13">
        <f t="shared" si="17"/>
        <v>0.25061728395061733</v>
      </c>
      <c r="CY24" s="13">
        <f t="shared" si="41"/>
        <v>0.12530864197530867</v>
      </c>
      <c r="CZ24" s="14">
        <f t="shared" si="18"/>
        <v>0.77469135802469136</v>
      </c>
      <c r="DA24" s="15">
        <f t="shared" si="42"/>
        <v>313.75</v>
      </c>
      <c r="DB24" s="15">
        <f t="shared" si="43"/>
        <v>405</v>
      </c>
      <c r="DD24" s="79" t="s">
        <v>22</v>
      </c>
      <c r="DE24" s="79" t="s">
        <v>7</v>
      </c>
      <c r="DF24" s="71">
        <v>725</v>
      </c>
      <c r="DG24" s="96">
        <v>1138.855</v>
      </c>
      <c r="DH24" s="82">
        <v>0.63660430871357632</v>
      </c>
      <c r="DI24" s="8">
        <v>602</v>
      </c>
      <c r="DJ24" s="35">
        <v>1564.9490000000001</v>
      </c>
      <c r="DK24" s="18">
        <v>0.38467707254357808</v>
      </c>
      <c r="DL24" s="13">
        <f t="shared" si="19"/>
        <v>4.5322927456421913E-2</v>
      </c>
      <c r="DM24" s="13">
        <f t="shared" si="44"/>
        <v>1.3596878236926574E-2</v>
      </c>
      <c r="DN24" s="14">
        <f t="shared" si="20"/>
        <v>0.39827395078050465</v>
      </c>
      <c r="DO24" s="15">
        <f t="shared" si="45"/>
        <v>623.27842099999998</v>
      </c>
      <c r="DP24" s="15">
        <f t="shared" si="46"/>
        <v>1564.9490000000001</v>
      </c>
      <c r="DR24" s="79" t="s">
        <v>22</v>
      </c>
      <c r="DS24" s="79" t="s">
        <v>7</v>
      </c>
      <c r="DT24" s="71">
        <v>2</v>
      </c>
      <c r="DU24" s="71">
        <v>6</v>
      </c>
      <c r="DV24" s="82">
        <v>0.33333333333333331</v>
      </c>
      <c r="DW24" s="71">
        <v>1</v>
      </c>
      <c r="DX24" s="71">
        <v>7</v>
      </c>
      <c r="DY24" s="82">
        <v>0.14285714285714285</v>
      </c>
      <c r="DZ24" s="59">
        <v>1</v>
      </c>
      <c r="EA24" s="59">
        <v>7</v>
      </c>
      <c r="EB24" s="84">
        <v>0.14285714285714285</v>
      </c>
      <c r="EC24" s="9">
        <v>1</v>
      </c>
      <c r="ED24" s="9">
        <v>8</v>
      </c>
      <c r="EE24" s="19">
        <f t="shared" si="47"/>
        <v>0.125</v>
      </c>
      <c r="EF24" s="13">
        <f t="shared" si="21"/>
        <v>0.47499999999999998</v>
      </c>
      <c r="EG24" s="13">
        <f t="shared" si="48"/>
        <v>7.1249999999999994E-2</v>
      </c>
      <c r="EH24" s="14">
        <f t="shared" si="22"/>
        <v>0.19624999999999998</v>
      </c>
      <c r="EI24" s="15">
        <f t="shared" si="49"/>
        <v>1.5699999999999998</v>
      </c>
      <c r="EJ24" s="15">
        <f t="shared" si="50"/>
        <v>8</v>
      </c>
      <c r="EL24" s="71" t="s">
        <v>22</v>
      </c>
      <c r="EM24" s="71" t="s">
        <v>7</v>
      </c>
      <c r="EN24" s="12">
        <v>0.8</v>
      </c>
      <c r="EO24" s="13">
        <v>0.41666666666666669</v>
      </c>
      <c r="EP24" s="21">
        <f t="shared" si="52"/>
        <v>0.8</v>
      </c>
    </row>
    <row r="25" spans="2:146" s="16" customFormat="1" ht="15.75" x14ac:dyDescent="0.25">
      <c r="B25" s="79" t="s">
        <v>23</v>
      </c>
      <c r="C25" s="79" t="s">
        <v>7</v>
      </c>
      <c r="D25" s="67">
        <v>2</v>
      </c>
      <c r="E25" s="67">
        <v>1</v>
      </c>
      <c r="F25" s="60">
        <v>2</v>
      </c>
      <c r="G25" s="59">
        <v>1</v>
      </c>
      <c r="H25" s="59">
        <v>1</v>
      </c>
      <c r="I25" s="60">
        <v>1</v>
      </c>
      <c r="J25" s="59">
        <v>1</v>
      </c>
      <c r="K25" s="59">
        <v>3</v>
      </c>
      <c r="L25" s="60">
        <v>0.33333333333333331</v>
      </c>
      <c r="M25" s="11">
        <v>1</v>
      </c>
      <c r="N25" s="11">
        <v>3</v>
      </c>
      <c r="O25" s="10">
        <v>0.33333333333333331</v>
      </c>
      <c r="P25" s="13">
        <f t="shared" si="0"/>
        <v>0.56666666666666665</v>
      </c>
      <c r="Q25" s="56">
        <f t="shared" si="1"/>
        <v>1.7</v>
      </c>
      <c r="R25" s="12">
        <f t="shared" si="51"/>
        <v>0.16999999999999998</v>
      </c>
      <c r="S25" s="56">
        <f t="shared" si="2"/>
        <v>0.51</v>
      </c>
      <c r="T25" s="14">
        <f t="shared" si="3"/>
        <v>0.5033333333333333</v>
      </c>
      <c r="U25" s="15">
        <f t="shared" si="23"/>
        <v>1.5099999999999998</v>
      </c>
      <c r="V25" s="15">
        <f t="shared" si="24"/>
        <v>3</v>
      </c>
      <c r="X25" s="79" t="s">
        <v>23</v>
      </c>
      <c r="Y25" s="79" t="s">
        <v>7</v>
      </c>
      <c r="Z25" s="67">
        <v>1520</v>
      </c>
      <c r="AA25" s="67">
        <v>1863</v>
      </c>
      <c r="AB25" s="99">
        <v>0.81588835212023614</v>
      </c>
      <c r="AC25" s="9">
        <v>1520</v>
      </c>
      <c r="AD25" s="9">
        <v>2501</v>
      </c>
      <c r="AE25" s="10">
        <f t="shared" si="25"/>
        <v>0.6077568972411036</v>
      </c>
      <c r="AF25" s="13">
        <f t="shared" si="4"/>
        <v>0.19224310275889644</v>
      </c>
      <c r="AG25" s="56">
        <f>IFERROR(AF25*AD25,"-")</f>
        <v>480.8</v>
      </c>
      <c r="AH25" s="13">
        <f t="shared" si="27"/>
        <v>4.8060775689724111E-2</v>
      </c>
      <c r="AI25" s="56">
        <f t="shared" si="28"/>
        <v>120.2</v>
      </c>
      <c r="AJ25" s="14">
        <f t="shared" si="29"/>
        <v>0.65581767293082771</v>
      </c>
      <c r="AK25" s="15">
        <f t="shared" si="30"/>
        <v>1640.2</v>
      </c>
      <c r="AL25" s="15">
        <f t="shared" si="31"/>
        <v>2501</v>
      </c>
      <c r="AN25" s="79" t="s">
        <v>23</v>
      </c>
      <c r="AO25" s="79" t="s">
        <v>7</v>
      </c>
      <c r="AP25" s="71">
        <v>106</v>
      </c>
      <c r="AQ25" s="71">
        <v>830</v>
      </c>
      <c r="AR25" s="72">
        <v>0.12771084337349398</v>
      </c>
      <c r="AS25" s="59">
        <v>175</v>
      </c>
      <c r="AT25" s="59">
        <v>830</v>
      </c>
      <c r="AU25" s="72">
        <v>0.21084337349397592</v>
      </c>
      <c r="AV25" s="11">
        <v>209</v>
      </c>
      <c r="AW25" s="11">
        <v>830</v>
      </c>
      <c r="AX25" s="17">
        <v>0.25180722891566265</v>
      </c>
      <c r="AY25" s="13">
        <f t="shared" si="5"/>
        <v>9.8192771084337327E-2</v>
      </c>
      <c r="AZ25" s="56">
        <f t="shared" si="6"/>
        <v>81.499999999999986</v>
      </c>
      <c r="BA25" s="13">
        <f t="shared" si="32"/>
        <v>4.9096385542168663E-2</v>
      </c>
      <c r="BB25" s="56">
        <f t="shared" si="7"/>
        <v>40.749999999999993</v>
      </c>
      <c r="BC25" s="53">
        <f t="shared" si="8"/>
        <v>0.30090361445783131</v>
      </c>
      <c r="BD25" s="15">
        <f t="shared" si="33"/>
        <v>249.75</v>
      </c>
      <c r="BE25" s="15">
        <v>830</v>
      </c>
      <c r="BG25" s="79" t="s">
        <v>23</v>
      </c>
      <c r="BH25" s="79" t="s">
        <v>7</v>
      </c>
      <c r="BI25" s="67">
        <v>2</v>
      </c>
      <c r="BJ25" s="67">
        <v>106</v>
      </c>
      <c r="BK25" s="82">
        <f t="shared" si="34"/>
        <v>1.8867924528301886E-2</v>
      </c>
      <c r="BL25" s="59">
        <v>6</v>
      </c>
      <c r="BM25" s="83">
        <v>282.75</v>
      </c>
      <c r="BN25" s="84">
        <v>5.6603773584905662E-2</v>
      </c>
      <c r="BO25" s="9">
        <v>8</v>
      </c>
      <c r="BP25" s="9">
        <v>106</v>
      </c>
      <c r="BQ25" s="10">
        <v>7.5471698113207544E-2</v>
      </c>
      <c r="BR25" s="13">
        <f t="shared" si="9"/>
        <v>3.4528301886792456E-2</v>
      </c>
      <c r="BS25" s="56">
        <f t="shared" si="10"/>
        <v>3.66</v>
      </c>
      <c r="BT25" s="13">
        <f>IFERROR(BR25*0.5,"-")</f>
        <v>1.7264150943396228E-2</v>
      </c>
      <c r="BU25" s="56">
        <f t="shared" si="11"/>
        <v>1.83</v>
      </c>
      <c r="BV25" s="53">
        <f t="shared" si="12"/>
        <v>9.2735849056603772E-2</v>
      </c>
      <c r="BW25" s="15">
        <f t="shared" si="36"/>
        <v>9.83</v>
      </c>
      <c r="BX25" s="15">
        <f t="shared" si="37"/>
        <v>106</v>
      </c>
      <c r="BZ25" s="79" t="s">
        <v>23</v>
      </c>
      <c r="CA25" s="79" t="s">
        <v>7</v>
      </c>
      <c r="CB25" s="71">
        <v>340</v>
      </c>
      <c r="CC25" s="96">
        <v>916.65000000000009</v>
      </c>
      <c r="CD25" s="82">
        <v>0.37091583483336055</v>
      </c>
      <c r="CE25" s="20">
        <v>197</v>
      </c>
      <c r="CF25" s="20">
        <v>1023.744</v>
      </c>
      <c r="CG25" s="18">
        <v>0.19243092023005751</v>
      </c>
      <c r="CH25" s="13">
        <f t="shared" si="13"/>
        <v>8.7569079769942521E-2</v>
      </c>
      <c r="CI25" s="56">
        <f t="shared" si="14"/>
        <v>89.648320000000041</v>
      </c>
      <c r="CJ25" s="13">
        <f t="shared" si="38"/>
        <v>2.6270723930982755E-2</v>
      </c>
      <c r="CK25" s="56">
        <f t="shared" si="15"/>
        <v>26.894496000000011</v>
      </c>
      <c r="CL25" s="14">
        <f t="shared" si="16"/>
        <v>0.21870164416104027</v>
      </c>
      <c r="CM25" s="15">
        <f t="shared" si="39"/>
        <v>223.894496</v>
      </c>
      <c r="CN25" s="15">
        <f t="shared" si="40"/>
        <v>1023.744</v>
      </c>
      <c r="CP25" s="79" t="s">
        <v>23</v>
      </c>
      <c r="CQ25" s="79" t="s">
        <v>7</v>
      </c>
      <c r="CR25" s="16">
        <v>700</v>
      </c>
      <c r="CS25" s="16">
        <v>761</v>
      </c>
      <c r="CT25" s="108">
        <v>0.91984231274638628</v>
      </c>
      <c r="CU25" s="8">
        <v>465</v>
      </c>
      <c r="CV25" s="8">
        <v>644</v>
      </c>
      <c r="CW25" s="18">
        <v>0.72204968944099379</v>
      </c>
      <c r="CX25" s="13">
        <f t="shared" si="17"/>
        <v>0.17795031055900623</v>
      </c>
      <c r="CY25" s="13">
        <f t="shared" si="41"/>
        <v>8.8975155279503115E-2</v>
      </c>
      <c r="CZ25" s="14">
        <f t="shared" si="18"/>
        <v>0.81102484472049685</v>
      </c>
      <c r="DA25" s="15">
        <f>DB25*CZ25</f>
        <v>522.29999999999995</v>
      </c>
      <c r="DB25" s="15">
        <f t="shared" si="43"/>
        <v>644</v>
      </c>
      <c r="DD25" s="79" t="s">
        <v>23</v>
      </c>
      <c r="DE25" s="79" t="s">
        <v>7</v>
      </c>
      <c r="DF25" s="71">
        <v>1209</v>
      </c>
      <c r="DG25" s="96">
        <v>1740.4919999999997</v>
      </c>
      <c r="DH25" s="82">
        <v>0.69463117325445922</v>
      </c>
      <c r="DI25" s="8">
        <v>723</v>
      </c>
      <c r="DJ25" s="35">
        <v>2330.241</v>
      </c>
      <c r="DK25" s="18">
        <v>0.31026833705183282</v>
      </c>
      <c r="DL25" s="13">
        <f t="shared" si="19"/>
        <v>0.11973166294816717</v>
      </c>
      <c r="DM25" s="13">
        <f t="shared" si="44"/>
        <v>3.5919498884450153E-2</v>
      </c>
      <c r="DN25" s="14">
        <f t="shared" si="20"/>
        <v>0.34618783593628299</v>
      </c>
      <c r="DO25" s="15">
        <f t="shared" si="45"/>
        <v>806.70108900000002</v>
      </c>
      <c r="DP25" s="15">
        <f t="shared" si="46"/>
        <v>2330.241</v>
      </c>
      <c r="DR25" s="79" t="s">
        <v>23</v>
      </c>
      <c r="DS25" s="79" t="s">
        <v>7</v>
      </c>
      <c r="DT25" s="71">
        <v>50</v>
      </c>
      <c r="DU25" s="71">
        <v>70</v>
      </c>
      <c r="DV25" s="82">
        <v>0.7142857142857143</v>
      </c>
      <c r="DW25" s="71">
        <v>28</v>
      </c>
      <c r="DX25" s="71">
        <v>42</v>
      </c>
      <c r="DY25" s="82">
        <v>0.66666666666666663</v>
      </c>
      <c r="DZ25" s="59">
        <v>35</v>
      </c>
      <c r="EA25" s="59">
        <v>55</v>
      </c>
      <c r="EB25" s="84">
        <v>0.63636363636363635</v>
      </c>
      <c r="EC25" s="9">
        <v>38</v>
      </c>
      <c r="ED25" s="9">
        <v>60</v>
      </c>
      <c r="EE25" s="19">
        <f t="shared" si="47"/>
        <v>0.6333333333333333</v>
      </c>
      <c r="EF25" s="13" t="str">
        <f t="shared" si="21"/>
        <v>-</v>
      </c>
      <c r="EG25" s="13" t="str">
        <f t="shared" si="48"/>
        <v>-</v>
      </c>
      <c r="EH25" s="52">
        <f t="shared" si="22"/>
        <v>0.6333333333333333</v>
      </c>
      <c r="EI25" s="15">
        <f t="shared" si="49"/>
        <v>38</v>
      </c>
      <c r="EJ25" s="15">
        <f t="shared" si="50"/>
        <v>60</v>
      </c>
      <c r="EL25" s="71" t="s">
        <v>23</v>
      </c>
      <c r="EM25" s="71" t="s">
        <v>7</v>
      </c>
      <c r="EN25" s="12">
        <v>0.8</v>
      </c>
      <c r="EO25" s="13">
        <v>1</v>
      </c>
      <c r="EP25" s="21">
        <f t="shared" si="52"/>
        <v>0.8</v>
      </c>
    </row>
    <row r="26" spans="2:146" s="16" customFormat="1" ht="15.75" x14ac:dyDescent="0.25">
      <c r="B26" s="80"/>
      <c r="C26" s="90" t="s">
        <v>7</v>
      </c>
      <c r="D26" s="68">
        <v>23</v>
      </c>
      <c r="E26" s="68">
        <v>61</v>
      </c>
      <c r="F26" s="62">
        <v>0.37704918032786883</v>
      </c>
      <c r="G26" s="61">
        <v>22</v>
      </c>
      <c r="H26" s="61">
        <v>46</v>
      </c>
      <c r="I26" s="62">
        <v>0.47826086956521741</v>
      </c>
      <c r="J26" s="61">
        <v>32</v>
      </c>
      <c r="K26" s="61">
        <v>76</v>
      </c>
      <c r="L26" s="62">
        <v>0.42105263157894735</v>
      </c>
      <c r="M26" s="26">
        <v>37</v>
      </c>
      <c r="N26" s="26">
        <v>88</v>
      </c>
      <c r="O26" s="25">
        <v>0.42045454545454547</v>
      </c>
      <c r="P26" s="28"/>
      <c r="Q26" s="28"/>
      <c r="R26" s="28"/>
      <c r="S26" s="28"/>
      <c r="T26" s="28"/>
      <c r="U26" s="28"/>
      <c r="V26" s="29"/>
      <c r="X26" s="80"/>
      <c r="Y26" s="90" t="s">
        <v>7</v>
      </c>
      <c r="Z26" s="68">
        <v>34242</v>
      </c>
      <c r="AA26" s="68">
        <v>39267</v>
      </c>
      <c r="AB26" s="100">
        <v>0.87202994881197948</v>
      </c>
      <c r="AC26" s="24"/>
      <c r="AD26" s="24"/>
      <c r="AE26" s="25"/>
      <c r="AF26" s="27"/>
      <c r="AG26" s="27"/>
      <c r="AH26" s="28"/>
      <c r="AI26" s="28"/>
      <c r="AJ26" s="28"/>
      <c r="AK26" s="31"/>
      <c r="AL26" s="31"/>
      <c r="AN26" s="80"/>
      <c r="AO26" s="90" t="s">
        <v>7</v>
      </c>
      <c r="AP26" s="73">
        <v>3248</v>
      </c>
      <c r="AQ26" s="73">
        <v>25112</v>
      </c>
      <c r="AR26" s="74">
        <v>0.12934055431666136</v>
      </c>
      <c r="AS26" s="61">
        <v>5077</v>
      </c>
      <c r="AT26" s="61">
        <v>25112</v>
      </c>
      <c r="AU26" s="74">
        <v>0.20217425931825422</v>
      </c>
      <c r="AV26" s="26">
        <v>5964</v>
      </c>
      <c r="AW26" s="26">
        <v>25358</v>
      </c>
      <c r="AX26" s="32">
        <v>0.23519204984620237</v>
      </c>
      <c r="AY26" s="28"/>
      <c r="AZ26" s="28"/>
      <c r="BA26" s="28"/>
      <c r="BB26" s="28"/>
      <c r="BC26" s="28"/>
      <c r="BD26" s="28"/>
      <c r="BE26" s="29">
        <v>25112</v>
      </c>
      <c r="BG26" s="80"/>
      <c r="BH26" s="90" t="s">
        <v>7</v>
      </c>
      <c r="BI26" s="68">
        <v>240</v>
      </c>
      <c r="BJ26" s="68">
        <v>2867</v>
      </c>
      <c r="BK26" s="85">
        <v>8.3711196372514826E-2</v>
      </c>
      <c r="BL26" s="61">
        <v>322</v>
      </c>
      <c r="BM26" s="86">
        <v>349</v>
      </c>
      <c r="BN26" s="87">
        <v>0.11126468555632343</v>
      </c>
      <c r="BO26" s="24">
        <v>368</v>
      </c>
      <c r="BP26" s="24">
        <v>2894</v>
      </c>
      <c r="BQ26" s="25">
        <v>0.12715964063579821</v>
      </c>
      <c r="BR26" s="28"/>
      <c r="BS26" s="28"/>
      <c r="BT26" s="28"/>
      <c r="BU26" s="28"/>
      <c r="BV26" s="28"/>
      <c r="BW26" s="28"/>
      <c r="BX26" s="29"/>
      <c r="BZ26" s="80"/>
      <c r="CA26" s="90" t="s">
        <v>7</v>
      </c>
      <c r="CB26" s="73">
        <v>5211</v>
      </c>
      <c r="CC26" s="97">
        <v>22667.85</v>
      </c>
      <c r="CD26" s="85">
        <v>0.22988505747126439</v>
      </c>
      <c r="CE26" s="34">
        <v>4859</v>
      </c>
      <c r="CF26" s="34">
        <v>25297.035000000003</v>
      </c>
      <c r="CG26" s="33">
        <v>0.19207784627724156</v>
      </c>
      <c r="CH26" s="28"/>
      <c r="CI26" s="28"/>
      <c r="CJ26" s="28"/>
      <c r="CK26" s="28"/>
      <c r="CL26" s="28"/>
      <c r="CM26" s="28"/>
      <c r="CN26" s="29"/>
      <c r="CP26" s="80"/>
      <c r="CQ26" s="90" t="s">
        <v>7</v>
      </c>
      <c r="CR26" s="23"/>
      <c r="CS26" s="23"/>
      <c r="CT26" s="23"/>
      <c r="CU26" s="23"/>
      <c r="CV26" s="23"/>
      <c r="CW26" s="33"/>
      <c r="CX26" s="28"/>
      <c r="CY26" s="28"/>
      <c r="CZ26" s="28"/>
      <c r="DA26" s="28"/>
      <c r="DB26" s="29"/>
      <c r="DD26" s="80"/>
      <c r="DE26" s="90" t="s">
        <v>7</v>
      </c>
      <c r="DF26" s="73">
        <v>22674</v>
      </c>
      <c r="DG26" s="97">
        <v>42825.647000000004</v>
      </c>
      <c r="DH26" s="85">
        <v>0.52944909390394024</v>
      </c>
      <c r="DI26" s="23">
        <v>18268</v>
      </c>
      <c r="DJ26" s="101">
        <v>57110.420999999988</v>
      </c>
      <c r="DK26" s="33">
        <v>0.31987156949867351</v>
      </c>
      <c r="DL26" s="28"/>
      <c r="DM26" s="28"/>
      <c r="DN26" s="28"/>
      <c r="DO26" s="28"/>
      <c r="DP26" s="29"/>
      <c r="DR26" s="80"/>
      <c r="DS26" s="90" t="s">
        <v>7</v>
      </c>
      <c r="DT26" s="73">
        <v>982</v>
      </c>
      <c r="DU26" s="73">
        <v>1535</v>
      </c>
      <c r="DV26" s="85">
        <v>0.6397394136807818</v>
      </c>
      <c r="DW26" s="73">
        <v>550</v>
      </c>
      <c r="DX26" s="73">
        <v>793</v>
      </c>
      <c r="DY26" s="85">
        <v>0.69356872635561162</v>
      </c>
      <c r="DZ26" s="61">
        <v>719</v>
      </c>
      <c r="EA26" s="61">
        <v>1044</v>
      </c>
      <c r="EB26" s="87">
        <v>0.68869731800766287</v>
      </c>
      <c r="EC26" s="24">
        <v>813</v>
      </c>
      <c r="ED26" s="24">
        <v>1175</v>
      </c>
      <c r="EE26" s="23"/>
      <c r="EF26" s="28"/>
      <c r="EG26" s="28"/>
      <c r="EH26" s="28"/>
      <c r="EI26" s="28"/>
      <c r="EJ26" s="26"/>
      <c r="EL26" s="93"/>
      <c r="EM26" s="73" t="s">
        <v>7</v>
      </c>
      <c r="EN26" s="27">
        <v>0.8</v>
      </c>
      <c r="EO26" s="28">
        <v>0.245</v>
      </c>
      <c r="EP26" s="28">
        <f>EN26</f>
        <v>0.8</v>
      </c>
    </row>
    <row r="27" spans="2:146" s="16" customFormat="1" ht="15.75" x14ac:dyDescent="0.25">
      <c r="B27" s="79" t="s">
        <v>24</v>
      </c>
      <c r="C27" s="79" t="s">
        <v>25</v>
      </c>
      <c r="D27" s="67">
        <v>3</v>
      </c>
      <c r="E27" s="67">
        <v>5</v>
      </c>
      <c r="F27" s="60">
        <v>0.6</v>
      </c>
      <c r="G27" s="59">
        <v>1</v>
      </c>
      <c r="H27" s="59">
        <v>3</v>
      </c>
      <c r="I27" s="60">
        <v>0.33333333333333331</v>
      </c>
      <c r="J27" s="59">
        <v>3</v>
      </c>
      <c r="K27" s="59">
        <v>3</v>
      </c>
      <c r="L27" s="60">
        <v>1</v>
      </c>
      <c r="M27" s="11">
        <v>3</v>
      </c>
      <c r="N27" s="11">
        <v>3</v>
      </c>
      <c r="O27" s="10">
        <v>1</v>
      </c>
      <c r="P27" s="13" t="str">
        <f t="shared" ref="P27:P33" si="53">IF(O27&lt;$P$3,$P$3-O27,"-")</f>
        <v>-</v>
      </c>
      <c r="Q27" s="56" t="str">
        <f t="shared" ref="Q27:Q33" si="54">IFERROR(P27*N27,"-")</f>
        <v>-</v>
      </c>
      <c r="R27" s="12" t="str">
        <f t="shared" si="51"/>
        <v>-</v>
      </c>
      <c r="S27" s="56" t="str">
        <f t="shared" ref="S27:S33" si="55">IFERROR(R27*N27,"-")</f>
        <v>-</v>
      </c>
      <c r="T27" s="52">
        <f t="shared" ref="T27:T33" si="56">IFERROR((R27+O27),IF(O27&gt;=$P$3,O27))</f>
        <v>1</v>
      </c>
      <c r="U27" s="15">
        <f t="shared" si="23"/>
        <v>3</v>
      </c>
      <c r="V27" s="15">
        <f t="shared" si="24"/>
        <v>3</v>
      </c>
      <c r="X27" s="79" t="s">
        <v>24</v>
      </c>
      <c r="Y27" s="79" t="s">
        <v>25</v>
      </c>
      <c r="Z27" s="67">
        <v>860</v>
      </c>
      <c r="AA27" s="67">
        <v>916</v>
      </c>
      <c r="AB27" s="99">
        <v>0.93886462882096067</v>
      </c>
      <c r="AC27" s="9">
        <v>757</v>
      </c>
      <c r="AD27" s="9">
        <v>1496</v>
      </c>
      <c r="AE27" s="10">
        <f t="shared" si="25"/>
        <v>0.50601604278074863</v>
      </c>
      <c r="AF27" s="13">
        <f t="shared" ref="AF27:AF33" si="57">IF(AE27&lt;$AG$3,$AG$3-AE27,"-")</f>
        <v>0.29398395721925141</v>
      </c>
      <c r="AG27" s="56">
        <f>IFERROR(AF27*AD27,"-")</f>
        <v>439.80000000000013</v>
      </c>
      <c r="AH27" s="13">
        <f t="shared" si="27"/>
        <v>7.3495989304812853E-2</v>
      </c>
      <c r="AI27" s="56">
        <f t="shared" si="28"/>
        <v>109.95000000000003</v>
      </c>
      <c r="AJ27" s="14">
        <f t="shared" si="29"/>
        <v>0.57951203208556146</v>
      </c>
      <c r="AK27" s="15">
        <f t="shared" si="30"/>
        <v>866.94999999999993</v>
      </c>
      <c r="AL27" s="15">
        <f t="shared" si="31"/>
        <v>1496</v>
      </c>
      <c r="AN27" s="79" t="s">
        <v>24</v>
      </c>
      <c r="AO27" s="79" t="s">
        <v>25</v>
      </c>
      <c r="AP27" s="71">
        <v>100</v>
      </c>
      <c r="AQ27" s="71">
        <v>426</v>
      </c>
      <c r="AR27" s="72">
        <v>0.23474178403755869</v>
      </c>
      <c r="AS27" s="59">
        <v>149</v>
      </c>
      <c r="AT27" s="59">
        <v>426</v>
      </c>
      <c r="AU27" s="72">
        <v>0.34976525821596244</v>
      </c>
      <c r="AV27" s="11">
        <v>185</v>
      </c>
      <c r="AW27" s="11">
        <v>426</v>
      </c>
      <c r="AX27" s="17">
        <v>0.43427230046948356</v>
      </c>
      <c r="AY27" s="13" t="str">
        <f>IF(AX27&lt;$AY$3,$AY$3-AX27,"-")</f>
        <v>-</v>
      </c>
      <c r="AZ27" s="56" t="str">
        <f t="shared" ref="AZ27:AZ33" si="58">IFERROR(AY27*AW27,"-")</f>
        <v>-</v>
      </c>
      <c r="BA27" s="13" t="str">
        <f t="shared" si="32"/>
        <v>-</v>
      </c>
      <c r="BB27" s="56" t="str">
        <f t="shared" ref="BB27:BB33" si="59">IFERROR(BA27*AW27,"-")</f>
        <v>-</v>
      </c>
      <c r="BC27" s="53">
        <f t="shared" ref="BC27:BC33" si="60">IFERROR((BA27+AX27),IF(AX27&gt;=35%,AX27))</f>
        <v>0.43427230046948356</v>
      </c>
      <c r="BD27" s="15">
        <f t="shared" si="33"/>
        <v>185</v>
      </c>
      <c r="BE27" s="15">
        <v>426</v>
      </c>
      <c r="BG27" s="79" t="s">
        <v>24</v>
      </c>
      <c r="BH27" s="79" t="s">
        <v>25</v>
      </c>
      <c r="BI27" s="67">
        <v>4</v>
      </c>
      <c r="BJ27" s="67">
        <v>53</v>
      </c>
      <c r="BK27" s="82">
        <f t="shared" si="34"/>
        <v>7.5471698113207544E-2</v>
      </c>
      <c r="BL27" s="59">
        <v>7</v>
      </c>
      <c r="BM27" s="83">
        <v>129.75</v>
      </c>
      <c r="BN27" s="84">
        <v>0.13207547169811321</v>
      </c>
      <c r="BO27" s="9">
        <v>9</v>
      </c>
      <c r="BP27" s="9">
        <v>53</v>
      </c>
      <c r="BQ27" s="10">
        <v>0.16981132075471697</v>
      </c>
      <c r="BR27" s="13" t="str">
        <f t="shared" ref="BR27:BR33" si="61">IF(BQ27&lt;$BR$3,$BR$3-BQ27,"-")</f>
        <v>-</v>
      </c>
      <c r="BS27" s="56" t="str">
        <f t="shared" ref="BS27:BS33" si="62">IFERROR(BR27*BP27,"-")</f>
        <v>-</v>
      </c>
      <c r="BT27" s="13" t="str">
        <f>IFERROR(BR27*0.5,"-")</f>
        <v>-</v>
      </c>
      <c r="BU27" s="56" t="str">
        <f t="shared" ref="BU27:BU33" si="63">IFERROR(BT27*BP27,"-")</f>
        <v>-</v>
      </c>
      <c r="BV27" s="52">
        <f>IFERROR((BT27+BQ27),IF(BQ27&gt;=11%,BQ27))</f>
        <v>0.16981132075471697</v>
      </c>
      <c r="BW27" s="15">
        <f t="shared" si="36"/>
        <v>9</v>
      </c>
      <c r="BX27" s="15">
        <f t="shared" si="37"/>
        <v>53</v>
      </c>
      <c r="BZ27" s="79" t="s">
        <v>24</v>
      </c>
      <c r="CA27" s="79" t="s">
        <v>25</v>
      </c>
      <c r="CB27" s="71">
        <v>130</v>
      </c>
      <c r="CC27" s="96">
        <v>600.04999999999995</v>
      </c>
      <c r="CD27" s="82">
        <v>0.21664861261561538</v>
      </c>
      <c r="CE27" s="20">
        <v>141</v>
      </c>
      <c r="CF27" s="20">
        <v>694.36199999999997</v>
      </c>
      <c r="CG27" s="18">
        <v>0.20306410777087458</v>
      </c>
      <c r="CH27" s="13">
        <f t="shared" ref="CH27:CH33" si="64">IF(CG27&lt;$CH$3,$CH$3-CG27,"-")</f>
        <v>7.6935892229125447E-2</v>
      </c>
      <c r="CI27" s="13"/>
      <c r="CJ27" s="13">
        <f t="shared" si="38"/>
        <v>2.3080767668737633E-2</v>
      </c>
      <c r="CK27" s="13"/>
      <c r="CL27" s="14">
        <f t="shared" ref="CL27:CL33" si="65">IFERROR((CJ27+CG27),IF(CG27&gt;$CH$3,CG27))</f>
        <v>0.2261448754396122</v>
      </c>
      <c r="CM27" s="15">
        <f t="shared" si="39"/>
        <v>157.026408</v>
      </c>
      <c r="CN27" s="15">
        <f t="shared" si="40"/>
        <v>694.36199999999997</v>
      </c>
      <c r="CP27" s="79" t="s">
        <v>24</v>
      </c>
      <c r="CQ27" s="79" t="s">
        <v>25</v>
      </c>
      <c r="CR27" s="16">
        <v>230</v>
      </c>
      <c r="CS27" s="16">
        <v>311</v>
      </c>
      <c r="CT27" s="108">
        <v>0.73954983922829587</v>
      </c>
      <c r="CU27" s="8">
        <v>231</v>
      </c>
      <c r="CV27" s="8">
        <v>327</v>
      </c>
      <c r="CW27" s="18">
        <v>0.70642201834862384</v>
      </c>
      <c r="CX27" s="13">
        <f t="shared" ref="CX27:CX33" si="66">IF(CW27&lt;$CX$3,$CX$3-CW27,"-")</f>
        <v>0.19357798165137619</v>
      </c>
      <c r="CY27" s="13">
        <f t="shared" si="41"/>
        <v>9.6788990825688093E-2</v>
      </c>
      <c r="CZ27" s="14">
        <f t="shared" ref="CZ27:CZ33" si="67">IFERROR((CY27+CW27),IF(CW27&gt;=$CX$3,CW27))</f>
        <v>0.80321100917431187</v>
      </c>
      <c r="DA27" s="15">
        <f>DB27*CZ27</f>
        <v>262.64999999999998</v>
      </c>
      <c r="DB27" s="15">
        <f t="shared" si="43"/>
        <v>327</v>
      </c>
      <c r="DD27" s="79" t="s">
        <v>24</v>
      </c>
      <c r="DE27" s="79" t="s">
        <v>25</v>
      </c>
      <c r="DF27" s="71">
        <v>562</v>
      </c>
      <c r="DG27" s="96">
        <v>1191.326</v>
      </c>
      <c r="DH27" s="82">
        <v>0.47174325079785046</v>
      </c>
      <c r="DI27" s="8">
        <v>482</v>
      </c>
      <c r="DJ27" s="35">
        <v>1592.7139999999999</v>
      </c>
      <c r="DK27" s="18">
        <v>0.302628092677028</v>
      </c>
      <c r="DL27" s="13">
        <f t="shared" ref="DL27:DL33" si="68">IF(DK27&lt;$DL$3,$DL$3-DK27,"-")</f>
        <v>0.12737190732297199</v>
      </c>
      <c r="DM27" s="13">
        <f t="shared" si="44"/>
        <v>3.8211572196891593E-2</v>
      </c>
      <c r="DN27" s="14">
        <f t="shared" ref="DN27:DN33" si="69">IFERROR((DM27+DK27),IF(DK27&gt;=DK27,DK27))</f>
        <v>0.34083966487391959</v>
      </c>
      <c r="DO27" s="15">
        <f t="shared" si="45"/>
        <v>542.86010599999997</v>
      </c>
      <c r="DP27" s="15">
        <f t="shared" si="46"/>
        <v>1592.7139999999999</v>
      </c>
      <c r="DR27" s="79" t="s">
        <v>24</v>
      </c>
      <c r="DS27" s="79" t="s">
        <v>25</v>
      </c>
      <c r="DT27" s="71">
        <v>28</v>
      </c>
      <c r="DU27" s="71">
        <v>31</v>
      </c>
      <c r="DV27" s="82">
        <v>0.90322580645161288</v>
      </c>
      <c r="DW27" s="71">
        <v>14</v>
      </c>
      <c r="DX27" s="71">
        <v>21</v>
      </c>
      <c r="DY27" s="82">
        <v>0.66666666666666663</v>
      </c>
      <c r="DZ27" s="59">
        <v>18</v>
      </c>
      <c r="EA27" s="59">
        <v>25</v>
      </c>
      <c r="EB27" s="84">
        <v>0.72</v>
      </c>
      <c r="EC27" s="9">
        <v>19</v>
      </c>
      <c r="ED27" s="9">
        <v>26</v>
      </c>
      <c r="EE27" s="19">
        <f t="shared" si="47"/>
        <v>0.73076923076923073</v>
      </c>
      <c r="EF27" s="13" t="str">
        <f t="shared" ref="EF27:EF33" si="70">IF(EE27&lt;$EF$3,$EF$3-EE27,"-")</f>
        <v>-</v>
      </c>
      <c r="EG27" s="13" t="str">
        <f t="shared" si="48"/>
        <v>-</v>
      </c>
      <c r="EH27" s="52">
        <f t="shared" ref="EH27:EH33" si="71">IFERROR((EG27+EE27),IF(EE27&gt;=$EF$3,EE27))</f>
        <v>0.73076923076923073</v>
      </c>
      <c r="EI27" s="15">
        <f t="shared" si="49"/>
        <v>19</v>
      </c>
      <c r="EJ27" s="15">
        <f t="shared" si="50"/>
        <v>26</v>
      </c>
      <c r="EL27" s="71" t="s">
        <v>24</v>
      </c>
      <c r="EM27" s="71" t="s">
        <v>25</v>
      </c>
      <c r="EN27" s="12">
        <v>0.8</v>
      </c>
      <c r="EO27" s="13">
        <v>0.46153846153846156</v>
      </c>
      <c r="EP27" s="21">
        <f>EN27</f>
        <v>0.8</v>
      </c>
    </row>
    <row r="28" spans="2:146" s="16" customFormat="1" ht="15.75" x14ac:dyDescent="0.25">
      <c r="B28" s="79" t="s">
        <v>26</v>
      </c>
      <c r="C28" s="79" t="s">
        <v>25</v>
      </c>
      <c r="D28" s="67">
        <v>0</v>
      </c>
      <c r="E28" s="67">
        <v>1</v>
      </c>
      <c r="F28" s="60">
        <v>0</v>
      </c>
      <c r="G28" s="59">
        <v>0</v>
      </c>
      <c r="H28" s="59">
        <v>1</v>
      </c>
      <c r="I28" s="60">
        <v>0</v>
      </c>
      <c r="J28" s="59">
        <v>0</v>
      </c>
      <c r="K28" s="59">
        <v>1</v>
      </c>
      <c r="L28" s="60">
        <v>0</v>
      </c>
      <c r="M28" s="11">
        <v>0</v>
      </c>
      <c r="N28" s="11">
        <v>1</v>
      </c>
      <c r="O28" s="10">
        <v>0</v>
      </c>
      <c r="P28" s="13">
        <f t="shared" si="53"/>
        <v>0.9</v>
      </c>
      <c r="Q28" s="56">
        <f t="shared" si="54"/>
        <v>0.9</v>
      </c>
      <c r="R28" s="12">
        <f t="shared" si="51"/>
        <v>0.27</v>
      </c>
      <c r="S28" s="56">
        <f t="shared" si="55"/>
        <v>0.27</v>
      </c>
      <c r="T28" s="14">
        <f t="shared" si="56"/>
        <v>0.27</v>
      </c>
      <c r="U28" s="15">
        <f t="shared" si="23"/>
        <v>0.27</v>
      </c>
      <c r="V28" s="15">
        <f t="shared" si="24"/>
        <v>1</v>
      </c>
      <c r="X28" s="79" t="s">
        <v>26</v>
      </c>
      <c r="Y28" s="79" t="s">
        <v>25</v>
      </c>
      <c r="Z28" s="67">
        <v>273</v>
      </c>
      <c r="AA28" s="67">
        <v>375</v>
      </c>
      <c r="AB28" s="99">
        <v>0.72799999999999998</v>
      </c>
      <c r="AC28" s="9">
        <v>273</v>
      </c>
      <c r="AD28" s="9">
        <v>733</v>
      </c>
      <c r="AE28" s="10">
        <f t="shared" si="25"/>
        <v>0.37244201909959074</v>
      </c>
      <c r="AF28" s="13">
        <f t="shared" si="57"/>
        <v>0.42755798090040931</v>
      </c>
      <c r="AG28" s="56">
        <f t="shared" ref="AG28:AG41" si="72">IFERROR(AF28*AD28,"-")</f>
        <v>313.40000000000003</v>
      </c>
      <c r="AH28" s="13">
        <f t="shared" si="27"/>
        <v>0.10688949522510233</v>
      </c>
      <c r="AI28" s="56">
        <f t="shared" si="28"/>
        <v>78.350000000000009</v>
      </c>
      <c r="AJ28" s="14">
        <f t="shared" si="29"/>
        <v>0.47933151432469306</v>
      </c>
      <c r="AK28" s="15">
        <f t="shared" si="30"/>
        <v>351.35</v>
      </c>
      <c r="AL28" s="15">
        <f t="shared" si="31"/>
        <v>733</v>
      </c>
      <c r="AN28" s="79" t="s">
        <v>26</v>
      </c>
      <c r="AO28" s="79" t="s">
        <v>25</v>
      </c>
      <c r="AP28" s="71">
        <v>7</v>
      </c>
      <c r="AQ28" s="71">
        <v>226</v>
      </c>
      <c r="AR28" s="72">
        <v>3.0973451327433628E-2</v>
      </c>
      <c r="AS28" s="59">
        <v>46</v>
      </c>
      <c r="AT28" s="59">
        <v>226</v>
      </c>
      <c r="AU28" s="72">
        <v>0.20353982300884957</v>
      </c>
      <c r="AV28" s="11">
        <v>49</v>
      </c>
      <c r="AW28" s="11">
        <v>226</v>
      </c>
      <c r="AX28" s="17">
        <v>0.2168141592920354</v>
      </c>
      <c r="AY28" s="13">
        <f t="shared" ref="AY28:AY41" si="73">IF(AX28&lt;$AY$3,$AY$3-AX28,"-")</f>
        <v>0.13318584070796458</v>
      </c>
      <c r="AZ28" s="56">
        <f t="shared" si="58"/>
        <v>30.099999999999994</v>
      </c>
      <c r="BA28" s="13">
        <f t="shared" si="32"/>
        <v>6.6592920353982288E-2</v>
      </c>
      <c r="BB28" s="56">
        <f t="shared" si="59"/>
        <v>15.049999999999997</v>
      </c>
      <c r="BC28" s="53">
        <f t="shared" si="60"/>
        <v>0.28340707964601769</v>
      </c>
      <c r="BD28" s="15">
        <f t="shared" si="33"/>
        <v>64.05</v>
      </c>
      <c r="BE28" s="15">
        <v>226</v>
      </c>
      <c r="BG28" s="79" t="s">
        <v>26</v>
      </c>
      <c r="BH28" s="79" t="s">
        <v>25</v>
      </c>
      <c r="BI28" s="67">
        <v>0</v>
      </c>
      <c r="BJ28" s="67">
        <v>27</v>
      </c>
      <c r="BK28" s="82">
        <f t="shared" si="34"/>
        <v>0</v>
      </c>
      <c r="BL28" s="59">
        <v>5</v>
      </c>
      <c r="BM28" s="83">
        <v>117</v>
      </c>
      <c r="BN28" s="84">
        <v>0.18518518518518517</v>
      </c>
      <c r="BO28" s="9">
        <v>5</v>
      </c>
      <c r="BP28" s="9">
        <v>27</v>
      </c>
      <c r="BQ28" s="10">
        <v>0.18518518518518517</v>
      </c>
      <c r="BR28" s="13" t="str">
        <f t="shared" si="61"/>
        <v>-</v>
      </c>
      <c r="BS28" s="56" t="str">
        <f t="shared" si="62"/>
        <v>-</v>
      </c>
      <c r="BT28" s="13" t="str">
        <f t="shared" ref="BT28:BT33" si="74">IFERROR(BR28*0.5,"-")</f>
        <v>-</v>
      </c>
      <c r="BU28" s="56" t="str">
        <f t="shared" si="63"/>
        <v>-</v>
      </c>
      <c r="BV28" s="52">
        <f>IFERROR((BT28+BQ28),IF(BQ28&gt;=11%,BQ28))</f>
        <v>0.18518518518518517</v>
      </c>
      <c r="BW28" s="15">
        <f t="shared" si="36"/>
        <v>5</v>
      </c>
      <c r="BX28" s="15">
        <f t="shared" si="37"/>
        <v>27</v>
      </c>
      <c r="BZ28" s="79" t="s">
        <v>26</v>
      </c>
      <c r="CA28" s="79" t="s">
        <v>25</v>
      </c>
      <c r="CB28" s="71">
        <v>83</v>
      </c>
      <c r="CC28" s="96">
        <v>250.9</v>
      </c>
      <c r="CD28" s="82">
        <v>0.33080908728577124</v>
      </c>
      <c r="CE28" s="20">
        <v>73</v>
      </c>
      <c r="CF28" s="20">
        <v>352.09500000000003</v>
      </c>
      <c r="CG28" s="18">
        <v>0.20733040798648092</v>
      </c>
      <c r="CH28" s="13">
        <f t="shared" si="64"/>
        <v>7.2669592013519108E-2</v>
      </c>
      <c r="CI28" s="13"/>
      <c r="CJ28" s="13">
        <f t="shared" si="38"/>
        <v>2.1800877604055732E-2</v>
      </c>
      <c r="CK28" s="13"/>
      <c r="CL28" s="14">
        <f t="shared" si="65"/>
        <v>0.22913128559053664</v>
      </c>
      <c r="CM28" s="15">
        <f t="shared" si="39"/>
        <v>80.67598000000001</v>
      </c>
      <c r="CN28" s="15">
        <f t="shared" si="40"/>
        <v>352.09500000000003</v>
      </c>
      <c r="CP28" s="79" t="s">
        <v>26</v>
      </c>
      <c r="CQ28" s="79" t="s">
        <v>25</v>
      </c>
      <c r="CR28" s="16">
        <v>86</v>
      </c>
      <c r="CS28" s="16">
        <v>252</v>
      </c>
      <c r="CT28" s="108">
        <v>0.34126984126984128</v>
      </c>
      <c r="CU28" s="8">
        <v>75</v>
      </c>
      <c r="CV28" s="8">
        <v>235</v>
      </c>
      <c r="CW28" s="18">
        <v>0.31914893617021278</v>
      </c>
      <c r="CX28" s="13">
        <f t="shared" si="66"/>
        <v>0.58085106382978724</v>
      </c>
      <c r="CY28" s="13">
        <f t="shared" si="41"/>
        <v>0.29042553191489362</v>
      </c>
      <c r="CZ28" s="14">
        <f t="shared" si="67"/>
        <v>0.6095744680851064</v>
      </c>
      <c r="DA28" s="15">
        <f t="shared" ref="DA28:DA41" si="75">DB28*CZ28</f>
        <v>143.25</v>
      </c>
      <c r="DB28" s="15">
        <f t="shared" si="43"/>
        <v>235</v>
      </c>
      <c r="DD28" s="79" t="s">
        <v>26</v>
      </c>
      <c r="DE28" s="79" t="s">
        <v>25</v>
      </c>
      <c r="DF28" s="71">
        <v>378</v>
      </c>
      <c r="DG28" s="96">
        <v>490.60599999999999</v>
      </c>
      <c r="DH28" s="82">
        <v>0.77047569740280386</v>
      </c>
      <c r="DI28" s="8">
        <v>366</v>
      </c>
      <c r="DJ28" s="35">
        <v>807.33400000000006</v>
      </c>
      <c r="DK28" s="18">
        <v>0.45334396916270092</v>
      </c>
      <c r="DL28" s="13" t="str">
        <f t="shared" si="68"/>
        <v>-</v>
      </c>
      <c r="DM28" s="13" t="str">
        <f t="shared" si="44"/>
        <v>-</v>
      </c>
      <c r="DN28" s="52">
        <f t="shared" si="69"/>
        <v>0.45334396916270092</v>
      </c>
      <c r="DO28" s="15">
        <f t="shared" si="45"/>
        <v>366</v>
      </c>
      <c r="DP28" s="15">
        <f t="shared" si="46"/>
        <v>807.33400000000006</v>
      </c>
      <c r="DR28" s="79" t="s">
        <v>26</v>
      </c>
      <c r="DS28" s="79" t="s">
        <v>25</v>
      </c>
      <c r="DT28" s="71">
        <v>3</v>
      </c>
      <c r="DU28" s="71">
        <v>3</v>
      </c>
      <c r="DV28" s="82">
        <v>1</v>
      </c>
      <c r="DW28" s="71">
        <v>2</v>
      </c>
      <c r="DX28" s="71">
        <v>2</v>
      </c>
      <c r="DY28" s="82">
        <v>1</v>
      </c>
      <c r="DZ28" s="59">
        <v>2</v>
      </c>
      <c r="EA28" s="59">
        <v>2</v>
      </c>
      <c r="EB28" s="84">
        <v>1</v>
      </c>
      <c r="EC28" s="9">
        <v>2</v>
      </c>
      <c r="ED28" s="9">
        <v>2</v>
      </c>
      <c r="EE28" s="19">
        <f t="shared" si="47"/>
        <v>1</v>
      </c>
      <c r="EF28" s="13" t="str">
        <f t="shared" si="70"/>
        <v>-</v>
      </c>
      <c r="EG28" s="13" t="str">
        <f t="shared" si="48"/>
        <v>-</v>
      </c>
      <c r="EH28" s="52">
        <f t="shared" si="71"/>
        <v>1</v>
      </c>
      <c r="EI28" s="15">
        <f t="shared" si="49"/>
        <v>2</v>
      </c>
      <c r="EJ28" s="15">
        <f t="shared" si="50"/>
        <v>2</v>
      </c>
      <c r="EL28" s="71" t="s">
        <v>26</v>
      </c>
      <c r="EM28" s="71" t="s">
        <v>25</v>
      </c>
      <c r="EN28" s="12">
        <v>0.8</v>
      </c>
      <c r="EO28" s="13">
        <v>0.75</v>
      </c>
      <c r="EP28" s="21">
        <f t="shared" ref="EP28:EP33" si="76">EN28</f>
        <v>0.8</v>
      </c>
    </row>
    <row r="29" spans="2:146" s="16" customFormat="1" ht="15.75" x14ac:dyDescent="0.25">
      <c r="B29" s="79" t="s">
        <v>27</v>
      </c>
      <c r="C29" s="79" t="s">
        <v>25</v>
      </c>
      <c r="D29" s="67">
        <v>2</v>
      </c>
      <c r="E29" s="67">
        <v>2</v>
      </c>
      <c r="F29" s="60">
        <v>1</v>
      </c>
      <c r="G29" s="59">
        <v>0</v>
      </c>
      <c r="H29" s="59">
        <v>2</v>
      </c>
      <c r="I29" s="60">
        <v>0</v>
      </c>
      <c r="J29" s="59">
        <v>0</v>
      </c>
      <c r="K29" s="59">
        <v>3</v>
      </c>
      <c r="L29" s="60">
        <v>0</v>
      </c>
      <c r="M29" s="11">
        <v>2</v>
      </c>
      <c r="N29" s="11">
        <v>3</v>
      </c>
      <c r="O29" s="10">
        <v>0.66666666666666663</v>
      </c>
      <c r="P29" s="13">
        <f t="shared" si="53"/>
        <v>0.23333333333333339</v>
      </c>
      <c r="Q29" s="56">
        <f t="shared" si="54"/>
        <v>0.70000000000000018</v>
      </c>
      <c r="R29" s="12">
        <f t="shared" si="51"/>
        <v>7.0000000000000021E-2</v>
      </c>
      <c r="S29" s="56">
        <f t="shared" si="55"/>
        <v>0.21000000000000008</v>
      </c>
      <c r="T29" s="14">
        <f t="shared" si="56"/>
        <v>0.73666666666666669</v>
      </c>
      <c r="U29" s="15">
        <f t="shared" si="23"/>
        <v>2.21</v>
      </c>
      <c r="V29" s="15">
        <f t="shared" si="24"/>
        <v>3</v>
      </c>
      <c r="X29" s="79" t="s">
        <v>27</v>
      </c>
      <c r="Y29" s="79" t="s">
        <v>25</v>
      </c>
      <c r="Z29" s="67">
        <v>914</v>
      </c>
      <c r="AA29" s="67">
        <v>1087</v>
      </c>
      <c r="AB29" s="99">
        <v>0.84084636614535424</v>
      </c>
      <c r="AC29" s="9">
        <v>914</v>
      </c>
      <c r="AD29" s="9">
        <v>1495</v>
      </c>
      <c r="AE29" s="10">
        <f t="shared" si="25"/>
        <v>0.61137123745819399</v>
      </c>
      <c r="AF29" s="13">
        <f t="shared" si="57"/>
        <v>0.18862876254180605</v>
      </c>
      <c r="AG29" s="56">
        <f t="shared" si="72"/>
        <v>282.00000000000006</v>
      </c>
      <c r="AH29" s="13">
        <f t="shared" si="27"/>
        <v>4.7157190635451512E-2</v>
      </c>
      <c r="AI29" s="56">
        <f t="shared" si="28"/>
        <v>70.500000000000014</v>
      </c>
      <c r="AJ29" s="14">
        <f t="shared" si="29"/>
        <v>0.65852842809364553</v>
      </c>
      <c r="AK29" s="15">
        <f t="shared" si="30"/>
        <v>984.50000000000011</v>
      </c>
      <c r="AL29" s="15">
        <f t="shared" si="31"/>
        <v>1495</v>
      </c>
      <c r="AN29" s="79" t="s">
        <v>27</v>
      </c>
      <c r="AO29" s="79" t="s">
        <v>25</v>
      </c>
      <c r="AP29" s="71">
        <v>126</v>
      </c>
      <c r="AQ29" s="71">
        <v>449</v>
      </c>
      <c r="AR29" s="72">
        <v>0.28062360801781738</v>
      </c>
      <c r="AS29" s="59">
        <v>185</v>
      </c>
      <c r="AT29" s="59">
        <v>449</v>
      </c>
      <c r="AU29" s="72">
        <v>0.41202672605790647</v>
      </c>
      <c r="AV29" s="11">
        <v>211</v>
      </c>
      <c r="AW29" s="11">
        <v>449</v>
      </c>
      <c r="AX29" s="17">
        <v>0.46993318485523383</v>
      </c>
      <c r="AY29" s="13" t="str">
        <f t="shared" si="73"/>
        <v>-</v>
      </c>
      <c r="AZ29" s="56" t="str">
        <f t="shared" si="58"/>
        <v>-</v>
      </c>
      <c r="BA29" s="13" t="str">
        <f t="shared" si="32"/>
        <v>-</v>
      </c>
      <c r="BB29" s="56" t="str">
        <f t="shared" si="59"/>
        <v>-</v>
      </c>
      <c r="BC29" s="53">
        <f t="shared" si="60"/>
        <v>0.46993318485523383</v>
      </c>
      <c r="BD29" s="15">
        <f t="shared" si="33"/>
        <v>211</v>
      </c>
      <c r="BE29" s="15">
        <v>449</v>
      </c>
      <c r="BG29" s="79" t="s">
        <v>27</v>
      </c>
      <c r="BH29" s="79" t="s">
        <v>25</v>
      </c>
      <c r="BI29" s="67">
        <v>6</v>
      </c>
      <c r="BJ29" s="67">
        <v>56</v>
      </c>
      <c r="BK29" s="82">
        <f t="shared" si="34"/>
        <v>0.10714285714285714</v>
      </c>
      <c r="BL29" s="59">
        <v>8</v>
      </c>
      <c r="BM29" s="83">
        <v>12.75</v>
      </c>
      <c r="BN29" s="84">
        <v>0.14285714285714285</v>
      </c>
      <c r="BO29" s="9">
        <v>10</v>
      </c>
      <c r="BP29" s="9">
        <v>56</v>
      </c>
      <c r="BQ29" s="10">
        <v>0.17857142857142858</v>
      </c>
      <c r="BR29" s="13" t="str">
        <f t="shared" si="61"/>
        <v>-</v>
      </c>
      <c r="BS29" s="56" t="str">
        <f t="shared" si="62"/>
        <v>-</v>
      </c>
      <c r="BT29" s="13" t="str">
        <f t="shared" si="74"/>
        <v>-</v>
      </c>
      <c r="BU29" s="56" t="str">
        <f t="shared" si="63"/>
        <v>-</v>
      </c>
      <c r="BV29" s="52">
        <f>IFERROR((BT29+BQ29),IF(BQ29&gt;=11%,BQ29))</f>
        <v>0.17857142857142858</v>
      </c>
      <c r="BW29" s="15">
        <f t="shared" si="36"/>
        <v>10</v>
      </c>
      <c r="BX29" s="15">
        <f t="shared" si="37"/>
        <v>56</v>
      </c>
      <c r="BZ29" s="79" t="s">
        <v>27</v>
      </c>
      <c r="CA29" s="79" t="s">
        <v>25</v>
      </c>
      <c r="CB29" s="71">
        <v>256</v>
      </c>
      <c r="CC29" s="96">
        <v>622.15000000000009</v>
      </c>
      <c r="CD29" s="82">
        <v>0.41147633207425854</v>
      </c>
      <c r="CE29" s="20">
        <v>215</v>
      </c>
      <c r="CF29" s="20">
        <v>717.05400000000009</v>
      </c>
      <c r="CG29" s="18">
        <v>0.29983794804854302</v>
      </c>
      <c r="CH29" s="13" t="str">
        <f t="shared" si="64"/>
        <v>-</v>
      </c>
      <c r="CI29" s="13"/>
      <c r="CJ29" s="13" t="str">
        <f t="shared" si="38"/>
        <v>-</v>
      </c>
      <c r="CK29" s="13"/>
      <c r="CL29" s="52">
        <f t="shared" si="65"/>
        <v>0.29983794804854302</v>
      </c>
      <c r="CM29" s="15">
        <f t="shared" si="39"/>
        <v>215</v>
      </c>
      <c r="CN29" s="15">
        <f t="shared" si="40"/>
        <v>717.05400000000009</v>
      </c>
      <c r="CP29" s="79" t="s">
        <v>27</v>
      </c>
      <c r="CQ29" s="79" t="s">
        <v>25</v>
      </c>
      <c r="CR29" s="16">
        <v>323</v>
      </c>
      <c r="CS29" s="16">
        <v>669</v>
      </c>
      <c r="CT29" s="108">
        <v>0.48281016442451419</v>
      </c>
      <c r="CU29" s="8">
        <v>485</v>
      </c>
      <c r="CV29" s="8">
        <v>574</v>
      </c>
      <c r="CW29" s="18">
        <v>0.84494773519163768</v>
      </c>
      <c r="CX29" s="13">
        <f t="shared" si="66"/>
        <v>5.5052264808362339E-2</v>
      </c>
      <c r="CY29" s="13">
        <f t="shared" si="41"/>
        <v>2.7526132404181169E-2</v>
      </c>
      <c r="CZ29" s="14">
        <f t="shared" si="67"/>
        <v>0.8724738675958188</v>
      </c>
      <c r="DA29" s="15">
        <f t="shared" si="75"/>
        <v>500.8</v>
      </c>
      <c r="DB29" s="15">
        <f t="shared" si="43"/>
        <v>574</v>
      </c>
      <c r="DD29" s="79" t="s">
        <v>27</v>
      </c>
      <c r="DE29" s="79" t="s">
        <v>25</v>
      </c>
      <c r="DF29" s="71">
        <v>1214</v>
      </c>
      <c r="DG29" s="96">
        <v>1228.027</v>
      </c>
      <c r="DH29" s="82">
        <v>0.98857761270721245</v>
      </c>
      <c r="DI29" s="8">
        <v>797</v>
      </c>
      <c r="DJ29" s="35">
        <v>1645.951</v>
      </c>
      <c r="DK29" s="18">
        <v>0.48421854599559766</v>
      </c>
      <c r="DL29" s="13" t="str">
        <f t="shared" si="68"/>
        <v>-</v>
      </c>
      <c r="DM29" s="13" t="str">
        <f t="shared" si="44"/>
        <v>-</v>
      </c>
      <c r="DN29" s="52">
        <f t="shared" si="69"/>
        <v>0.48421854599559766</v>
      </c>
      <c r="DO29" s="15">
        <f t="shared" si="45"/>
        <v>797</v>
      </c>
      <c r="DP29" s="15">
        <f t="shared" si="46"/>
        <v>1645.951</v>
      </c>
      <c r="DR29" s="79" t="s">
        <v>27</v>
      </c>
      <c r="DS29" s="79" t="s">
        <v>25</v>
      </c>
      <c r="DT29" s="71">
        <v>12</v>
      </c>
      <c r="DU29" s="71">
        <v>16</v>
      </c>
      <c r="DV29" s="82">
        <v>0.75</v>
      </c>
      <c r="DW29" s="71">
        <v>5</v>
      </c>
      <c r="DX29" s="71">
        <v>6</v>
      </c>
      <c r="DY29" s="82">
        <v>0.83333333333333337</v>
      </c>
      <c r="DZ29" s="59">
        <v>5</v>
      </c>
      <c r="EA29" s="59">
        <v>8</v>
      </c>
      <c r="EB29" s="84">
        <v>0.625</v>
      </c>
      <c r="EC29" s="9">
        <v>5</v>
      </c>
      <c r="ED29" s="9">
        <v>9</v>
      </c>
      <c r="EE29" s="19">
        <f t="shared" si="47"/>
        <v>0.55555555555555558</v>
      </c>
      <c r="EF29" s="13">
        <f t="shared" si="70"/>
        <v>4.4444444444444398E-2</v>
      </c>
      <c r="EG29" s="13">
        <f t="shared" si="48"/>
        <v>6.6666666666666593E-3</v>
      </c>
      <c r="EH29" s="14">
        <f t="shared" si="71"/>
        <v>0.56222222222222229</v>
      </c>
      <c r="EI29" s="15">
        <f t="shared" si="49"/>
        <v>5.0600000000000005</v>
      </c>
      <c r="EJ29" s="15">
        <f t="shared" si="50"/>
        <v>9</v>
      </c>
      <c r="EL29" s="71" t="s">
        <v>27</v>
      </c>
      <c r="EM29" s="71" t="s">
        <v>25</v>
      </c>
      <c r="EN29" s="12">
        <v>0.8</v>
      </c>
      <c r="EO29" s="13">
        <v>0.36842105263157893</v>
      </c>
      <c r="EP29" s="21">
        <f t="shared" si="76"/>
        <v>0.8</v>
      </c>
    </row>
    <row r="30" spans="2:146" s="16" customFormat="1" ht="15.75" x14ac:dyDescent="0.25">
      <c r="B30" s="79" t="s">
        <v>28</v>
      </c>
      <c r="C30" s="79" t="s">
        <v>25</v>
      </c>
      <c r="D30" s="67">
        <v>1</v>
      </c>
      <c r="E30" s="67">
        <v>1</v>
      </c>
      <c r="F30" s="60">
        <v>1</v>
      </c>
      <c r="G30" s="59">
        <v>0</v>
      </c>
      <c r="H30" s="59">
        <v>0</v>
      </c>
      <c r="I30" s="60">
        <v>1</v>
      </c>
      <c r="J30" s="59">
        <v>0</v>
      </c>
      <c r="K30" s="59">
        <v>0</v>
      </c>
      <c r="L30" s="60">
        <v>1</v>
      </c>
      <c r="M30" s="11">
        <v>0</v>
      </c>
      <c r="N30" s="11">
        <v>0</v>
      </c>
      <c r="O30" s="10">
        <v>1</v>
      </c>
      <c r="P30" s="13" t="str">
        <f t="shared" si="53"/>
        <v>-</v>
      </c>
      <c r="Q30" s="56" t="str">
        <f t="shared" si="54"/>
        <v>-</v>
      </c>
      <c r="R30" s="12" t="str">
        <f t="shared" si="51"/>
        <v>-</v>
      </c>
      <c r="S30" s="56" t="str">
        <f t="shared" si="55"/>
        <v>-</v>
      </c>
      <c r="T30" s="52">
        <f t="shared" si="56"/>
        <v>1</v>
      </c>
      <c r="U30" s="15">
        <f t="shared" si="23"/>
        <v>0</v>
      </c>
      <c r="V30" s="15">
        <f t="shared" si="24"/>
        <v>0</v>
      </c>
      <c r="X30" s="79" t="s">
        <v>28</v>
      </c>
      <c r="Y30" s="79" t="s">
        <v>25</v>
      </c>
      <c r="Z30" s="67">
        <v>1091</v>
      </c>
      <c r="AA30" s="67">
        <v>1028</v>
      </c>
      <c r="AB30" s="99">
        <v>1.061284046692607</v>
      </c>
      <c r="AC30" s="9">
        <v>982</v>
      </c>
      <c r="AD30" s="9">
        <v>1369</v>
      </c>
      <c r="AE30" s="10">
        <f t="shared" si="25"/>
        <v>0.71731190650109566</v>
      </c>
      <c r="AF30" s="13">
        <f t="shared" si="57"/>
        <v>8.268809349890438E-2</v>
      </c>
      <c r="AG30" s="56">
        <f t="shared" si="72"/>
        <v>113.2000000000001</v>
      </c>
      <c r="AH30" s="13">
        <f t="shared" si="27"/>
        <v>2.0672023374726095E-2</v>
      </c>
      <c r="AI30" s="56">
        <f t="shared" si="28"/>
        <v>28.300000000000026</v>
      </c>
      <c r="AJ30" s="14">
        <f t="shared" si="29"/>
        <v>0.73798392987582173</v>
      </c>
      <c r="AK30" s="15">
        <f t="shared" si="30"/>
        <v>1010.3</v>
      </c>
      <c r="AL30" s="15">
        <f t="shared" si="31"/>
        <v>1369</v>
      </c>
      <c r="AN30" s="79" t="s">
        <v>28</v>
      </c>
      <c r="AO30" s="79" t="s">
        <v>25</v>
      </c>
      <c r="AP30" s="71">
        <v>86</v>
      </c>
      <c r="AQ30" s="71">
        <v>448</v>
      </c>
      <c r="AR30" s="72">
        <v>0.19196428571428573</v>
      </c>
      <c r="AS30" s="59">
        <v>128</v>
      </c>
      <c r="AT30" s="59">
        <v>448</v>
      </c>
      <c r="AU30" s="72">
        <v>0.2857142857142857</v>
      </c>
      <c r="AV30" s="11">
        <v>153</v>
      </c>
      <c r="AW30" s="11">
        <v>448</v>
      </c>
      <c r="AX30" s="17">
        <v>0.34151785714285715</v>
      </c>
      <c r="AY30" s="13">
        <f t="shared" si="73"/>
        <v>8.482142857142827E-3</v>
      </c>
      <c r="AZ30" s="56">
        <f t="shared" si="58"/>
        <v>3.7999999999999865</v>
      </c>
      <c r="BA30" s="13">
        <f t="shared" si="32"/>
        <v>4.2410714285714135E-3</v>
      </c>
      <c r="BB30" s="56">
        <f t="shared" si="59"/>
        <v>1.8999999999999932</v>
      </c>
      <c r="BC30" s="53">
        <f t="shared" si="60"/>
        <v>0.34575892857142854</v>
      </c>
      <c r="BD30" s="15">
        <f t="shared" si="33"/>
        <v>154.89999999999998</v>
      </c>
      <c r="BE30" s="15">
        <v>448</v>
      </c>
      <c r="BG30" s="79" t="s">
        <v>28</v>
      </c>
      <c r="BH30" s="79" t="s">
        <v>25</v>
      </c>
      <c r="BI30" s="67">
        <v>6</v>
      </c>
      <c r="BJ30" s="67">
        <v>53</v>
      </c>
      <c r="BK30" s="82">
        <f t="shared" si="34"/>
        <v>0.11320754716981132</v>
      </c>
      <c r="BL30" s="59">
        <v>7</v>
      </c>
      <c r="BM30" s="83">
        <v>134.5</v>
      </c>
      <c r="BN30" s="84">
        <v>0.13207547169811321</v>
      </c>
      <c r="BO30" s="9">
        <v>7</v>
      </c>
      <c r="BP30" s="9">
        <v>53</v>
      </c>
      <c r="BQ30" s="10">
        <v>0.13207547169811321</v>
      </c>
      <c r="BR30" s="13" t="str">
        <f t="shared" si="61"/>
        <v>-</v>
      </c>
      <c r="BS30" s="56" t="str">
        <f t="shared" si="62"/>
        <v>-</v>
      </c>
      <c r="BT30" s="13" t="str">
        <f t="shared" si="74"/>
        <v>-</v>
      </c>
      <c r="BU30" s="56" t="str">
        <f t="shared" si="63"/>
        <v>-</v>
      </c>
      <c r="BV30" s="52">
        <f>IFERROR((BT30+BQ30),IF(BQ30&gt;=11%,BQ30))</f>
        <v>0.13207547169811321</v>
      </c>
      <c r="BW30" s="15">
        <f t="shared" si="36"/>
        <v>7</v>
      </c>
      <c r="BX30" s="15">
        <f t="shared" si="37"/>
        <v>53</v>
      </c>
      <c r="BZ30" s="79" t="s">
        <v>28</v>
      </c>
      <c r="CA30" s="79" t="s">
        <v>25</v>
      </c>
      <c r="CB30" s="71">
        <v>190</v>
      </c>
      <c r="CC30" s="96">
        <v>559.1</v>
      </c>
      <c r="CD30" s="82">
        <v>0.33983187265247716</v>
      </c>
      <c r="CE30" s="103">
        <v>37</v>
      </c>
      <c r="CF30" s="20">
        <v>666.96600000000001</v>
      </c>
      <c r="CG30" s="18">
        <v>5.5475091683833959E-2</v>
      </c>
      <c r="CH30" s="13">
        <f t="shared" si="64"/>
        <v>0.22452490831616606</v>
      </c>
      <c r="CI30" s="13"/>
      <c r="CJ30" s="13">
        <f t="shared" si="38"/>
        <v>6.7357472494849815E-2</v>
      </c>
      <c r="CK30" s="13"/>
      <c r="CL30" s="14">
        <f t="shared" si="65"/>
        <v>0.12283256417868377</v>
      </c>
      <c r="CM30" s="15">
        <f t="shared" si="39"/>
        <v>81.925144000000003</v>
      </c>
      <c r="CN30" s="15">
        <f t="shared" si="40"/>
        <v>666.96600000000001</v>
      </c>
      <c r="CP30" s="79" t="s">
        <v>28</v>
      </c>
      <c r="CQ30" s="79" t="s">
        <v>25</v>
      </c>
      <c r="CR30" s="16">
        <v>382</v>
      </c>
      <c r="CS30" s="16">
        <v>580</v>
      </c>
      <c r="CT30" s="108">
        <v>0.6586206896551724</v>
      </c>
      <c r="CU30" s="8">
        <v>83</v>
      </c>
      <c r="CV30" s="8">
        <v>108</v>
      </c>
      <c r="CW30" s="18">
        <v>0.76851851851851849</v>
      </c>
      <c r="CX30" s="13">
        <f t="shared" si="66"/>
        <v>0.13148148148148153</v>
      </c>
      <c r="CY30" s="13">
        <f t="shared" si="41"/>
        <v>6.5740740740740766E-2</v>
      </c>
      <c r="CZ30" s="14">
        <f t="shared" si="67"/>
        <v>0.83425925925925926</v>
      </c>
      <c r="DA30" s="15">
        <f t="shared" si="75"/>
        <v>90.1</v>
      </c>
      <c r="DB30" s="15">
        <f t="shared" si="43"/>
        <v>108</v>
      </c>
      <c r="DD30" s="79" t="s">
        <v>28</v>
      </c>
      <c r="DE30" s="79" t="s">
        <v>25</v>
      </c>
      <c r="DF30" s="71">
        <v>900</v>
      </c>
      <c r="DG30" s="96">
        <v>1104.239</v>
      </c>
      <c r="DH30" s="82">
        <v>0.81504094675156369</v>
      </c>
      <c r="DI30" s="102">
        <v>163</v>
      </c>
      <c r="DJ30" s="35">
        <v>1539.7809999999999</v>
      </c>
      <c r="DK30" s="18">
        <v>0.10585920984867329</v>
      </c>
      <c r="DL30" s="13">
        <f t="shared" si="68"/>
        <v>0.32414079015132669</v>
      </c>
      <c r="DM30" s="13">
        <f t="shared" si="44"/>
        <v>9.7242237045398E-2</v>
      </c>
      <c r="DN30" s="14">
        <f t="shared" si="69"/>
        <v>0.20310144689407128</v>
      </c>
      <c r="DO30" s="15">
        <f t="shared" si="45"/>
        <v>312.73174899999998</v>
      </c>
      <c r="DP30" s="15">
        <f t="shared" si="46"/>
        <v>1539.7809999999999</v>
      </c>
      <c r="DR30" s="79" t="s">
        <v>28</v>
      </c>
      <c r="DS30" s="79" t="s">
        <v>25</v>
      </c>
      <c r="DT30" s="71">
        <v>17</v>
      </c>
      <c r="DU30" s="71">
        <v>29</v>
      </c>
      <c r="DV30" s="82">
        <v>0.58620689655172409</v>
      </c>
      <c r="DW30" s="71">
        <v>9</v>
      </c>
      <c r="DX30" s="71">
        <v>14</v>
      </c>
      <c r="DY30" s="82">
        <v>0.6428571428571429</v>
      </c>
      <c r="DZ30" s="59">
        <v>17</v>
      </c>
      <c r="EA30" s="59">
        <v>22</v>
      </c>
      <c r="EB30" s="84">
        <v>0.77272727272727271</v>
      </c>
      <c r="EC30" s="9">
        <v>17</v>
      </c>
      <c r="ED30" s="9">
        <v>23</v>
      </c>
      <c r="EE30" s="19">
        <f t="shared" si="47"/>
        <v>0.73913043478260865</v>
      </c>
      <c r="EF30" s="13" t="str">
        <f t="shared" si="70"/>
        <v>-</v>
      </c>
      <c r="EG30" s="13" t="str">
        <f t="shared" si="48"/>
        <v>-</v>
      </c>
      <c r="EH30" s="52">
        <f t="shared" si="71"/>
        <v>0.73913043478260865</v>
      </c>
      <c r="EI30" s="15">
        <f t="shared" si="49"/>
        <v>17</v>
      </c>
      <c r="EJ30" s="15">
        <f t="shared" si="50"/>
        <v>23</v>
      </c>
      <c r="EL30" s="71" t="s">
        <v>28</v>
      </c>
      <c r="EM30" s="71" t="s">
        <v>25</v>
      </c>
      <c r="EN30" s="12">
        <v>0.8</v>
      </c>
      <c r="EO30" s="13">
        <v>0.6</v>
      </c>
      <c r="EP30" s="21">
        <f t="shared" si="76"/>
        <v>0.8</v>
      </c>
    </row>
    <row r="31" spans="2:146" s="16" customFormat="1" ht="15.75" x14ac:dyDescent="0.25">
      <c r="B31" s="79" t="s">
        <v>29</v>
      </c>
      <c r="C31" s="79" t="s">
        <v>25</v>
      </c>
      <c r="D31" s="67">
        <v>0</v>
      </c>
      <c r="E31" s="67">
        <v>0</v>
      </c>
      <c r="F31" s="60">
        <v>1</v>
      </c>
      <c r="G31" s="59">
        <v>0</v>
      </c>
      <c r="H31" s="59">
        <v>0</v>
      </c>
      <c r="I31" s="60">
        <v>1</v>
      </c>
      <c r="J31" s="59">
        <v>0</v>
      </c>
      <c r="K31" s="59">
        <v>0</v>
      </c>
      <c r="L31" s="60">
        <v>1</v>
      </c>
      <c r="M31" s="11">
        <v>0</v>
      </c>
      <c r="N31" s="11">
        <v>0</v>
      </c>
      <c r="O31" s="10">
        <v>1</v>
      </c>
      <c r="P31" s="13" t="str">
        <f t="shared" si="53"/>
        <v>-</v>
      </c>
      <c r="Q31" s="56" t="str">
        <f t="shared" si="54"/>
        <v>-</v>
      </c>
      <c r="R31" s="12" t="str">
        <f t="shared" si="51"/>
        <v>-</v>
      </c>
      <c r="S31" s="56" t="str">
        <f t="shared" si="55"/>
        <v>-</v>
      </c>
      <c r="T31" s="52">
        <f t="shared" si="56"/>
        <v>1</v>
      </c>
      <c r="U31" s="15">
        <f t="shared" si="23"/>
        <v>0</v>
      </c>
      <c r="V31" s="15">
        <f t="shared" si="24"/>
        <v>0</v>
      </c>
      <c r="X31" s="79" t="s">
        <v>29</v>
      </c>
      <c r="Y31" s="79" t="s">
        <v>25</v>
      </c>
      <c r="Z31" s="67">
        <v>20</v>
      </c>
      <c r="AA31" s="67">
        <v>16</v>
      </c>
      <c r="AB31" s="99">
        <v>1.25</v>
      </c>
      <c r="AC31" s="9">
        <v>20</v>
      </c>
      <c r="AD31" s="9">
        <v>0</v>
      </c>
      <c r="AE31" s="10" t="s">
        <v>74</v>
      </c>
      <c r="AF31" s="13" t="str">
        <f t="shared" si="57"/>
        <v>-</v>
      </c>
      <c r="AG31" s="56" t="str">
        <f t="shared" si="72"/>
        <v>-</v>
      </c>
      <c r="AH31" s="13" t="str">
        <f t="shared" si="27"/>
        <v>-</v>
      </c>
      <c r="AI31" s="56" t="str">
        <f t="shared" si="28"/>
        <v>-</v>
      </c>
      <c r="AJ31" s="14" t="s">
        <v>74</v>
      </c>
      <c r="AK31" s="15" t="s">
        <v>74</v>
      </c>
      <c r="AL31" s="15">
        <f t="shared" si="31"/>
        <v>0</v>
      </c>
      <c r="AN31" s="79" t="s">
        <v>29</v>
      </c>
      <c r="AO31" s="79" t="s">
        <v>25</v>
      </c>
      <c r="AP31" s="71"/>
      <c r="AQ31" s="71"/>
      <c r="AR31" s="72">
        <v>1</v>
      </c>
      <c r="AS31" s="59"/>
      <c r="AT31" s="59">
        <v>1</v>
      </c>
      <c r="AU31" s="72">
        <v>1</v>
      </c>
      <c r="AV31" s="11"/>
      <c r="AW31" s="11">
        <v>1</v>
      </c>
      <c r="AX31" s="17">
        <v>1</v>
      </c>
      <c r="AY31" s="13" t="str">
        <f t="shared" si="73"/>
        <v>-</v>
      </c>
      <c r="AZ31" s="56" t="str">
        <f t="shared" si="58"/>
        <v>-</v>
      </c>
      <c r="BA31" s="13" t="str">
        <f t="shared" si="32"/>
        <v>-</v>
      </c>
      <c r="BB31" s="56" t="str">
        <f t="shared" si="59"/>
        <v>-</v>
      </c>
      <c r="BC31" s="52">
        <f t="shared" si="60"/>
        <v>1</v>
      </c>
      <c r="BD31" s="15">
        <f t="shared" si="33"/>
        <v>0</v>
      </c>
      <c r="BE31" s="15"/>
      <c r="BG31" s="79" t="s">
        <v>29</v>
      </c>
      <c r="BH31" s="79" t="s">
        <v>25</v>
      </c>
      <c r="BI31" s="67" t="s">
        <v>74</v>
      </c>
      <c r="BJ31" s="67" t="s">
        <v>74</v>
      </c>
      <c r="BK31" s="67" t="s">
        <v>74</v>
      </c>
      <c r="BL31" s="67"/>
      <c r="BM31" s="88">
        <v>106</v>
      </c>
      <c r="BN31" s="67">
        <v>1</v>
      </c>
      <c r="BO31" s="9">
        <v>0</v>
      </c>
      <c r="BP31" s="9">
        <v>0</v>
      </c>
      <c r="BQ31" s="10">
        <v>1</v>
      </c>
      <c r="BR31" s="13" t="str">
        <f t="shared" si="61"/>
        <v>-</v>
      </c>
      <c r="BS31" s="56" t="str">
        <f t="shared" si="62"/>
        <v>-</v>
      </c>
      <c r="BT31" s="13" t="s">
        <v>74</v>
      </c>
      <c r="BU31" s="56" t="str">
        <f t="shared" si="63"/>
        <v>-</v>
      </c>
      <c r="BV31" s="53" t="s">
        <v>74</v>
      </c>
      <c r="BW31" s="15" t="s">
        <v>74</v>
      </c>
      <c r="BX31" s="15">
        <f t="shared" si="37"/>
        <v>0</v>
      </c>
      <c r="BZ31" s="79" t="s">
        <v>29</v>
      </c>
      <c r="CA31" s="79" t="s">
        <v>25</v>
      </c>
      <c r="CB31" s="71">
        <v>16</v>
      </c>
      <c r="CC31" s="96">
        <v>46.1</v>
      </c>
      <c r="CD31" s="82">
        <v>0.34707158351409978</v>
      </c>
      <c r="CE31" s="20">
        <v>15</v>
      </c>
      <c r="CF31" s="20">
        <v>56.835000000000001</v>
      </c>
      <c r="CG31" s="18">
        <v>0.26392187912377935</v>
      </c>
      <c r="CH31" s="13">
        <f t="shared" si="64"/>
        <v>1.6078120876220681E-2</v>
      </c>
      <c r="CI31" s="13"/>
      <c r="CJ31" s="13">
        <f t="shared" si="38"/>
        <v>4.823436262866204E-3</v>
      </c>
      <c r="CK31" s="13"/>
      <c r="CL31" s="14">
        <f t="shared" si="65"/>
        <v>0.26874531538664553</v>
      </c>
      <c r="CM31" s="15">
        <f t="shared" si="39"/>
        <v>15.274139999999999</v>
      </c>
      <c r="CN31" s="15">
        <f t="shared" si="40"/>
        <v>56.835000000000001</v>
      </c>
      <c r="CP31" s="79" t="s">
        <v>29</v>
      </c>
      <c r="CQ31" s="79" t="s">
        <v>25</v>
      </c>
      <c r="CR31" s="16">
        <v>21</v>
      </c>
      <c r="CS31" s="16">
        <v>27</v>
      </c>
      <c r="CT31" s="108">
        <v>0.77777777777777779</v>
      </c>
      <c r="CU31" s="8">
        <v>10</v>
      </c>
      <c r="CV31" s="8">
        <v>28</v>
      </c>
      <c r="CW31" s="18">
        <v>0.35714285714285715</v>
      </c>
      <c r="CX31" s="13">
        <f t="shared" si="66"/>
        <v>0.54285714285714293</v>
      </c>
      <c r="CY31" s="13">
        <f t="shared" si="41"/>
        <v>0.27142857142857146</v>
      </c>
      <c r="CZ31" s="14">
        <f t="shared" si="67"/>
        <v>0.62857142857142856</v>
      </c>
      <c r="DA31" s="15">
        <f t="shared" si="75"/>
        <v>17.600000000000001</v>
      </c>
      <c r="DB31" s="15">
        <f t="shared" si="43"/>
        <v>28</v>
      </c>
      <c r="DD31" s="79" t="s">
        <v>29</v>
      </c>
      <c r="DE31" s="79" t="s">
        <v>25</v>
      </c>
      <c r="DF31" s="71">
        <v>44</v>
      </c>
      <c r="DG31" s="96">
        <v>95.422999999999988</v>
      </c>
      <c r="DH31" s="82">
        <v>0.46110476509856119</v>
      </c>
      <c r="DI31" s="8">
        <v>44</v>
      </c>
      <c r="DJ31" s="35">
        <v>133.42400000000001</v>
      </c>
      <c r="DK31" s="18">
        <v>0.32977575248830793</v>
      </c>
      <c r="DL31" s="13">
        <f t="shared" si="68"/>
        <v>0.10022424751169207</v>
      </c>
      <c r="DM31" s="13">
        <f t="shared" si="44"/>
        <v>3.0067274253507619E-2</v>
      </c>
      <c r="DN31" s="14">
        <f t="shared" si="69"/>
        <v>0.35984302674181556</v>
      </c>
      <c r="DO31" s="15">
        <f t="shared" si="45"/>
        <v>48.011696000000001</v>
      </c>
      <c r="DP31" s="15">
        <f t="shared" si="46"/>
        <v>133.42400000000001</v>
      </c>
      <c r="DR31" s="79" t="s">
        <v>29</v>
      </c>
      <c r="DS31" s="79" t="s">
        <v>25</v>
      </c>
      <c r="DT31" s="71">
        <v>0</v>
      </c>
      <c r="DU31" s="71">
        <v>0</v>
      </c>
      <c r="DV31" s="82" t="s">
        <v>73</v>
      </c>
      <c r="DW31" s="71">
        <v>0</v>
      </c>
      <c r="DX31" s="71">
        <v>0</v>
      </c>
      <c r="DY31" s="82" t="s">
        <v>73</v>
      </c>
      <c r="DZ31" s="59">
        <v>0</v>
      </c>
      <c r="EA31" s="59">
        <v>0</v>
      </c>
      <c r="EB31" s="84">
        <v>1</v>
      </c>
      <c r="EC31" s="9">
        <v>0</v>
      </c>
      <c r="ED31" s="9">
        <v>0</v>
      </c>
      <c r="EE31" s="19" t="s">
        <v>74</v>
      </c>
      <c r="EF31" s="13" t="str">
        <f t="shared" si="70"/>
        <v>-</v>
      </c>
      <c r="EG31" s="13" t="str">
        <f t="shared" si="48"/>
        <v>-</v>
      </c>
      <c r="EH31" s="14" t="str">
        <f t="shared" si="71"/>
        <v>-</v>
      </c>
      <c r="EI31" s="15" t="s">
        <v>74</v>
      </c>
      <c r="EJ31" s="15">
        <f t="shared" si="50"/>
        <v>0</v>
      </c>
      <c r="EL31" s="71" t="s">
        <v>29</v>
      </c>
      <c r="EM31" s="71" t="s">
        <v>25</v>
      </c>
      <c r="EN31" s="12">
        <v>0.8</v>
      </c>
      <c r="EO31" s="13">
        <v>0.5</v>
      </c>
      <c r="EP31" s="21">
        <f t="shared" si="76"/>
        <v>0.8</v>
      </c>
    </row>
    <row r="32" spans="2:146" s="16" customFormat="1" ht="15.75" x14ac:dyDescent="0.25">
      <c r="B32" s="79" t="s">
        <v>30</v>
      </c>
      <c r="C32" s="79" t="s">
        <v>25</v>
      </c>
      <c r="D32" s="67">
        <v>1</v>
      </c>
      <c r="E32" s="67">
        <v>1</v>
      </c>
      <c r="F32" s="60">
        <v>1</v>
      </c>
      <c r="G32" s="59">
        <v>0</v>
      </c>
      <c r="H32" s="59">
        <v>0</v>
      </c>
      <c r="I32" s="60">
        <v>1</v>
      </c>
      <c r="J32" s="59">
        <v>0</v>
      </c>
      <c r="K32" s="59">
        <v>0</v>
      </c>
      <c r="L32" s="60">
        <v>1</v>
      </c>
      <c r="M32" s="11">
        <v>0</v>
      </c>
      <c r="N32" s="11">
        <v>0</v>
      </c>
      <c r="O32" s="10">
        <v>1</v>
      </c>
      <c r="P32" s="13" t="str">
        <f t="shared" si="53"/>
        <v>-</v>
      </c>
      <c r="Q32" s="56" t="str">
        <f t="shared" si="54"/>
        <v>-</v>
      </c>
      <c r="R32" s="12" t="str">
        <f t="shared" si="51"/>
        <v>-</v>
      </c>
      <c r="S32" s="56" t="str">
        <f t="shared" si="55"/>
        <v>-</v>
      </c>
      <c r="T32" s="52">
        <f t="shared" si="56"/>
        <v>1</v>
      </c>
      <c r="U32" s="15">
        <f t="shared" si="23"/>
        <v>0</v>
      </c>
      <c r="V32" s="15">
        <f t="shared" si="24"/>
        <v>0</v>
      </c>
      <c r="X32" s="79" t="s">
        <v>30</v>
      </c>
      <c r="Y32" s="79" t="s">
        <v>25</v>
      </c>
      <c r="Z32" s="67">
        <v>746</v>
      </c>
      <c r="AA32" s="67">
        <v>1005</v>
      </c>
      <c r="AB32" s="99">
        <v>0.74228855721393039</v>
      </c>
      <c r="AC32" s="9">
        <v>746</v>
      </c>
      <c r="AD32" s="9">
        <v>1576</v>
      </c>
      <c r="AE32" s="10">
        <f t="shared" si="25"/>
        <v>0.4733502538071066</v>
      </c>
      <c r="AF32" s="13">
        <f t="shared" si="57"/>
        <v>0.32664974619289344</v>
      </c>
      <c r="AG32" s="56">
        <f t="shared" si="72"/>
        <v>514.80000000000007</v>
      </c>
      <c r="AH32" s="13">
        <f t="shared" si="27"/>
        <v>8.1662436548223361E-2</v>
      </c>
      <c r="AI32" s="56">
        <f t="shared" si="28"/>
        <v>128.70000000000002</v>
      </c>
      <c r="AJ32" s="14">
        <f t="shared" si="29"/>
        <v>0.55501269035532996</v>
      </c>
      <c r="AK32" s="15">
        <f t="shared" si="30"/>
        <v>874.7</v>
      </c>
      <c r="AL32" s="15">
        <f t="shared" si="31"/>
        <v>1576</v>
      </c>
      <c r="AN32" s="79" t="s">
        <v>30</v>
      </c>
      <c r="AO32" s="79" t="s">
        <v>25</v>
      </c>
      <c r="AP32" s="71">
        <v>153</v>
      </c>
      <c r="AQ32" s="71">
        <v>455</v>
      </c>
      <c r="AR32" s="72">
        <v>0.33626373626373629</v>
      </c>
      <c r="AS32" s="59">
        <v>201</v>
      </c>
      <c r="AT32" s="59">
        <v>455</v>
      </c>
      <c r="AU32" s="72">
        <v>0.44175824175824174</v>
      </c>
      <c r="AV32" s="11">
        <v>211</v>
      </c>
      <c r="AW32" s="11">
        <v>455</v>
      </c>
      <c r="AX32" s="17">
        <v>0.46373626373626375</v>
      </c>
      <c r="AY32" s="13" t="str">
        <f t="shared" si="73"/>
        <v>-</v>
      </c>
      <c r="AZ32" s="56" t="str">
        <f t="shared" si="58"/>
        <v>-</v>
      </c>
      <c r="BA32" s="13" t="str">
        <f t="shared" si="32"/>
        <v>-</v>
      </c>
      <c r="BB32" s="56" t="str">
        <f t="shared" si="59"/>
        <v>-</v>
      </c>
      <c r="BC32" s="52">
        <f t="shared" si="60"/>
        <v>0.46373626373626375</v>
      </c>
      <c r="BD32" s="15">
        <f t="shared" si="33"/>
        <v>211</v>
      </c>
      <c r="BE32" s="15">
        <v>455</v>
      </c>
      <c r="BG32" s="79" t="s">
        <v>30</v>
      </c>
      <c r="BH32" s="79" t="s">
        <v>25</v>
      </c>
      <c r="BI32" s="67">
        <v>7</v>
      </c>
      <c r="BJ32" s="67">
        <v>71</v>
      </c>
      <c r="BK32" s="82">
        <f t="shared" si="34"/>
        <v>9.8591549295774641E-2</v>
      </c>
      <c r="BL32" s="59">
        <v>8</v>
      </c>
      <c r="BM32" s="83">
        <v>47.5</v>
      </c>
      <c r="BN32" s="84">
        <v>0.11267605633802817</v>
      </c>
      <c r="BO32" s="9">
        <v>8</v>
      </c>
      <c r="BP32" s="9">
        <v>71</v>
      </c>
      <c r="BQ32" s="10">
        <v>0.11267605633802817</v>
      </c>
      <c r="BR32" s="13" t="str">
        <f t="shared" si="61"/>
        <v>-</v>
      </c>
      <c r="BS32" s="56" t="str">
        <f t="shared" si="62"/>
        <v>-</v>
      </c>
      <c r="BT32" s="13" t="str">
        <f t="shared" si="74"/>
        <v>-</v>
      </c>
      <c r="BU32" s="56" t="str">
        <f t="shared" si="63"/>
        <v>-</v>
      </c>
      <c r="BV32" s="52">
        <f>IFERROR((BT32+BQ32),IF(BQ32&gt;=11%,BQ32))</f>
        <v>0.11267605633802817</v>
      </c>
      <c r="BW32" s="15">
        <f t="shared" si="36"/>
        <v>8</v>
      </c>
      <c r="BX32" s="15">
        <f t="shared" si="37"/>
        <v>71</v>
      </c>
      <c r="BZ32" s="79" t="s">
        <v>30</v>
      </c>
      <c r="CA32" s="79" t="s">
        <v>25</v>
      </c>
      <c r="CB32" s="71">
        <v>182</v>
      </c>
      <c r="CC32" s="96">
        <v>655.7</v>
      </c>
      <c r="CD32" s="82">
        <v>0.27756596004270245</v>
      </c>
      <c r="CE32" s="20">
        <v>162</v>
      </c>
      <c r="CF32" s="20">
        <v>757.64699999999993</v>
      </c>
      <c r="CG32" s="18">
        <v>0.21381989237732085</v>
      </c>
      <c r="CH32" s="13">
        <f t="shared" si="64"/>
        <v>6.6180107622679174E-2</v>
      </c>
      <c r="CI32" s="13"/>
      <c r="CJ32" s="13">
        <f t="shared" si="38"/>
        <v>1.9854032286803752E-2</v>
      </c>
      <c r="CK32" s="13"/>
      <c r="CL32" s="14">
        <f t="shared" si="65"/>
        <v>0.23367392466412459</v>
      </c>
      <c r="CM32" s="15">
        <f t="shared" si="39"/>
        <v>177.042348</v>
      </c>
      <c r="CN32" s="15">
        <f t="shared" si="40"/>
        <v>757.64699999999993</v>
      </c>
      <c r="CP32" s="79" t="s">
        <v>30</v>
      </c>
      <c r="CQ32" s="79" t="s">
        <v>25</v>
      </c>
      <c r="CR32" s="16">
        <v>342</v>
      </c>
      <c r="CS32" s="16">
        <v>518</v>
      </c>
      <c r="CT32" s="108">
        <v>0.66023166023166024</v>
      </c>
      <c r="CU32" s="8">
        <v>372</v>
      </c>
      <c r="CV32" s="8">
        <v>480</v>
      </c>
      <c r="CW32" s="18">
        <v>0.77500000000000002</v>
      </c>
      <c r="CX32" s="13">
        <f t="shared" si="66"/>
        <v>0.125</v>
      </c>
      <c r="CY32" s="13">
        <f t="shared" si="41"/>
        <v>6.25E-2</v>
      </c>
      <c r="CZ32" s="14">
        <f t="shared" si="67"/>
        <v>0.83750000000000002</v>
      </c>
      <c r="DA32" s="15">
        <f t="shared" si="75"/>
        <v>402</v>
      </c>
      <c r="DB32" s="15">
        <f t="shared" si="43"/>
        <v>480</v>
      </c>
      <c r="DD32" s="79" t="s">
        <v>30</v>
      </c>
      <c r="DE32" s="79" t="s">
        <v>25</v>
      </c>
      <c r="DF32" s="71">
        <v>883</v>
      </c>
      <c r="DG32" s="96">
        <v>1299.989</v>
      </c>
      <c r="DH32" s="82">
        <v>0.67923651661667905</v>
      </c>
      <c r="DI32" s="8">
        <v>553</v>
      </c>
      <c r="DJ32" s="35">
        <v>1741.1599999999999</v>
      </c>
      <c r="DK32" s="18">
        <v>0.31760435571687845</v>
      </c>
      <c r="DL32" s="13">
        <f t="shared" si="68"/>
        <v>0.11239564428312154</v>
      </c>
      <c r="DM32" s="13">
        <f t="shared" si="44"/>
        <v>3.3718693284936464E-2</v>
      </c>
      <c r="DN32" s="14">
        <f t="shared" si="69"/>
        <v>0.35132304900181494</v>
      </c>
      <c r="DO32" s="15">
        <f t="shared" si="45"/>
        <v>611.70964000000004</v>
      </c>
      <c r="DP32" s="15">
        <f t="shared" si="46"/>
        <v>1741.1599999999999</v>
      </c>
      <c r="DR32" s="79" t="s">
        <v>30</v>
      </c>
      <c r="DS32" s="79" t="s">
        <v>25</v>
      </c>
      <c r="DT32" s="71">
        <v>24</v>
      </c>
      <c r="DU32" s="71">
        <v>34</v>
      </c>
      <c r="DV32" s="82">
        <v>0.70588235294117652</v>
      </c>
      <c r="DW32" s="71">
        <v>21</v>
      </c>
      <c r="DX32" s="71">
        <v>23</v>
      </c>
      <c r="DY32" s="82">
        <v>0.91304347826086951</v>
      </c>
      <c r="DZ32" s="59">
        <v>24</v>
      </c>
      <c r="EA32" s="59">
        <v>26</v>
      </c>
      <c r="EB32" s="84">
        <v>0.92307692307692313</v>
      </c>
      <c r="EC32" s="9">
        <v>25</v>
      </c>
      <c r="ED32" s="9">
        <v>27</v>
      </c>
      <c r="EE32" s="19">
        <f t="shared" si="47"/>
        <v>0.92592592592592593</v>
      </c>
      <c r="EF32" s="13" t="str">
        <f t="shared" si="70"/>
        <v>-</v>
      </c>
      <c r="EG32" s="13" t="str">
        <f t="shared" si="48"/>
        <v>-</v>
      </c>
      <c r="EH32" s="52">
        <f t="shared" si="71"/>
        <v>0.92592592592592593</v>
      </c>
      <c r="EI32" s="15">
        <f t="shared" si="49"/>
        <v>25</v>
      </c>
      <c r="EJ32" s="15">
        <f t="shared" si="50"/>
        <v>27</v>
      </c>
      <c r="EL32" s="71" t="s">
        <v>30</v>
      </c>
      <c r="EM32" s="71" t="s">
        <v>25</v>
      </c>
      <c r="EN32" s="12">
        <v>0.8</v>
      </c>
      <c r="EO32" s="13">
        <v>0.42857142857142855</v>
      </c>
      <c r="EP32" s="21">
        <f t="shared" si="76"/>
        <v>0.8</v>
      </c>
    </row>
    <row r="33" spans="2:146" s="16" customFormat="1" ht="15.75" x14ac:dyDescent="0.25">
      <c r="B33" s="79" t="s">
        <v>31</v>
      </c>
      <c r="C33" s="79" t="s">
        <v>25</v>
      </c>
      <c r="D33" s="67">
        <v>2</v>
      </c>
      <c r="E33" s="67">
        <v>2</v>
      </c>
      <c r="F33" s="60">
        <v>1</v>
      </c>
      <c r="G33" s="59">
        <v>0</v>
      </c>
      <c r="H33" s="59">
        <v>3</v>
      </c>
      <c r="I33" s="60">
        <v>0</v>
      </c>
      <c r="J33" s="59">
        <v>0</v>
      </c>
      <c r="K33" s="59">
        <v>5</v>
      </c>
      <c r="L33" s="60">
        <v>0</v>
      </c>
      <c r="M33" s="11">
        <v>0</v>
      </c>
      <c r="N33" s="11">
        <v>6</v>
      </c>
      <c r="O33" s="10">
        <v>0</v>
      </c>
      <c r="P33" s="13">
        <f t="shared" si="53"/>
        <v>0.9</v>
      </c>
      <c r="Q33" s="56">
        <f t="shared" si="54"/>
        <v>5.4</v>
      </c>
      <c r="R33" s="12">
        <f t="shared" si="51"/>
        <v>0.27</v>
      </c>
      <c r="S33" s="56">
        <f t="shared" si="55"/>
        <v>1.62</v>
      </c>
      <c r="T33" s="14">
        <f t="shared" si="56"/>
        <v>0.27</v>
      </c>
      <c r="U33" s="15">
        <f t="shared" si="23"/>
        <v>1.62</v>
      </c>
      <c r="V33" s="15">
        <f t="shared" si="24"/>
        <v>6</v>
      </c>
      <c r="X33" s="79" t="s">
        <v>31</v>
      </c>
      <c r="Y33" s="79" t="s">
        <v>25</v>
      </c>
      <c r="Z33" s="67">
        <v>801</v>
      </c>
      <c r="AA33" s="67">
        <v>1075</v>
      </c>
      <c r="AB33" s="99">
        <v>0.74511627906976741</v>
      </c>
      <c r="AC33" s="9">
        <v>801</v>
      </c>
      <c r="AD33" s="9">
        <v>1602</v>
      </c>
      <c r="AE33" s="10">
        <f t="shared" si="25"/>
        <v>0.5</v>
      </c>
      <c r="AF33" s="13">
        <f t="shared" si="57"/>
        <v>0.30000000000000004</v>
      </c>
      <c r="AG33" s="56">
        <f t="shared" si="72"/>
        <v>480.60000000000008</v>
      </c>
      <c r="AH33" s="13">
        <f t="shared" si="27"/>
        <v>7.5000000000000011E-2</v>
      </c>
      <c r="AI33" s="56">
        <f t="shared" si="28"/>
        <v>120.15000000000002</v>
      </c>
      <c r="AJ33" s="14">
        <f t="shared" si="29"/>
        <v>0.57499999999999996</v>
      </c>
      <c r="AK33" s="15">
        <f t="shared" si="30"/>
        <v>921.15</v>
      </c>
      <c r="AL33" s="15">
        <f t="shared" si="31"/>
        <v>1602</v>
      </c>
      <c r="AN33" s="79" t="s">
        <v>31</v>
      </c>
      <c r="AO33" s="79" t="s">
        <v>25</v>
      </c>
      <c r="AP33" s="71">
        <v>119</v>
      </c>
      <c r="AQ33" s="71">
        <v>379</v>
      </c>
      <c r="AR33" s="72">
        <v>0.31398416886543534</v>
      </c>
      <c r="AS33" s="59">
        <v>148</v>
      </c>
      <c r="AT33" s="59">
        <v>379</v>
      </c>
      <c r="AU33" s="72">
        <v>0.39050131926121373</v>
      </c>
      <c r="AV33" s="11">
        <v>178</v>
      </c>
      <c r="AW33" s="11">
        <v>379</v>
      </c>
      <c r="AX33" s="17">
        <v>0.46965699208443273</v>
      </c>
      <c r="AY33" s="13" t="str">
        <f t="shared" si="73"/>
        <v>-</v>
      </c>
      <c r="AZ33" s="56" t="str">
        <f t="shared" si="58"/>
        <v>-</v>
      </c>
      <c r="BA33" s="13" t="str">
        <f t="shared" si="32"/>
        <v>-</v>
      </c>
      <c r="BB33" s="56" t="str">
        <f t="shared" si="59"/>
        <v>-</v>
      </c>
      <c r="BC33" s="52">
        <f t="shared" si="60"/>
        <v>0.46965699208443273</v>
      </c>
      <c r="BD33" s="15">
        <f t="shared" si="33"/>
        <v>178</v>
      </c>
      <c r="BE33" s="15">
        <v>379</v>
      </c>
      <c r="BG33" s="79" t="s">
        <v>31</v>
      </c>
      <c r="BH33" s="79" t="s">
        <v>25</v>
      </c>
      <c r="BI33" s="67">
        <v>5</v>
      </c>
      <c r="BJ33" s="67">
        <v>54</v>
      </c>
      <c r="BK33" s="82">
        <f t="shared" si="34"/>
        <v>9.2592592592592587E-2</v>
      </c>
      <c r="BL33" s="59">
        <v>6</v>
      </c>
      <c r="BM33" s="83">
        <v>0</v>
      </c>
      <c r="BN33" s="84">
        <v>0.1111111111111111</v>
      </c>
      <c r="BO33" s="9">
        <v>7</v>
      </c>
      <c r="BP33" s="9">
        <v>54</v>
      </c>
      <c r="BQ33" s="10">
        <v>0.12962962962962962</v>
      </c>
      <c r="BR33" s="13" t="str">
        <f t="shared" si="61"/>
        <v>-</v>
      </c>
      <c r="BS33" s="56" t="str">
        <f t="shared" si="62"/>
        <v>-</v>
      </c>
      <c r="BT33" s="13" t="str">
        <f t="shared" si="74"/>
        <v>-</v>
      </c>
      <c r="BU33" s="56" t="str">
        <f t="shared" si="63"/>
        <v>-</v>
      </c>
      <c r="BV33" s="52">
        <f>IFERROR((BT33+BQ33),IF(BQ33&gt;=11%,BQ33))</f>
        <v>0.12962962962962962</v>
      </c>
      <c r="BW33" s="15">
        <f t="shared" si="36"/>
        <v>7</v>
      </c>
      <c r="BX33" s="15">
        <f t="shared" si="37"/>
        <v>54</v>
      </c>
      <c r="BZ33" s="79" t="s">
        <v>31</v>
      </c>
      <c r="CA33" s="79" t="s">
        <v>25</v>
      </c>
      <c r="CB33" s="71">
        <v>204</v>
      </c>
      <c r="CC33" s="96">
        <v>637.29999999999995</v>
      </c>
      <c r="CD33" s="82">
        <v>0.32010042366232544</v>
      </c>
      <c r="CE33" s="20">
        <v>139</v>
      </c>
      <c r="CF33" s="20">
        <v>711.6</v>
      </c>
      <c r="CG33" s="18">
        <v>0.19533445756042719</v>
      </c>
      <c r="CH33" s="13">
        <f t="shared" si="64"/>
        <v>8.4665542439572833E-2</v>
      </c>
      <c r="CI33" s="13"/>
      <c r="CJ33" s="13">
        <f t="shared" si="38"/>
        <v>2.5399662731871848E-2</v>
      </c>
      <c r="CK33" s="13"/>
      <c r="CL33" s="14">
        <f t="shared" si="65"/>
        <v>0.22073412029229905</v>
      </c>
      <c r="CM33" s="15">
        <f t="shared" si="39"/>
        <v>157.0744</v>
      </c>
      <c r="CN33" s="15">
        <f t="shared" si="40"/>
        <v>711.6</v>
      </c>
      <c r="CP33" s="79" t="s">
        <v>31</v>
      </c>
      <c r="CQ33" s="79" t="s">
        <v>25</v>
      </c>
      <c r="CR33" s="16">
        <v>381</v>
      </c>
      <c r="CS33" s="16">
        <v>584</v>
      </c>
      <c r="CT33" s="108">
        <v>0.6523972602739726</v>
      </c>
      <c r="CU33" s="8">
        <v>257</v>
      </c>
      <c r="CV33" s="8">
        <v>397</v>
      </c>
      <c r="CW33" s="18">
        <v>0.64735516372795965</v>
      </c>
      <c r="CX33" s="13">
        <f t="shared" si="66"/>
        <v>0.25264483627204037</v>
      </c>
      <c r="CY33" s="13">
        <f t="shared" si="41"/>
        <v>0.12632241813602019</v>
      </c>
      <c r="CZ33" s="14">
        <f t="shared" si="67"/>
        <v>0.77367758186397984</v>
      </c>
      <c r="DA33" s="15">
        <f t="shared" si="75"/>
        <v>307.14999999999998</v>
      </c>
      <c r="DB33" s="15">
        <f t="shared" si="43"/>
        <v>397</v>
      </c>
      <c r="DD33" s="79" t="s">
        <v>31</v>
      </c>
      <c r="DE33" s="79" t="s">
        <v>25</v>
      </c>
      <c r="DF33" s="71">
        <v>851</v>
      </c>
      <c r="DG33" s="96">
        <v>1236.0309999999999</v>
      </c>
      <c r="DH33" s="82">
        <v>0.68849405880596848</v>
      </c>
      <c r="DI33" s="8">
        <v>261</v>
      </c>
      <c r="DJ33" s="35">
        <v>1623.9079999999999</v>
      </c>
      <c r="DK33" s="18">
        <v>0.16072339073395783</v>
      </c>
      <c r="DL33" s="13">
        <f t="shared" si="68"/>
        <v>0.26927660926604213</v>
      </c>
      <c r="DM33" s="13">
        <f t="shared" si="44"/>
        <v>8.0782982779812634E-2</v>
      </c>
      <c r="DN33" s="14">
        <f t="shared" si="69"/>
        <v>0.24150637351377047</v>
      </c>
      <c r="DO33" s="15">
        <f t="shared" si="45"/>
        <v>392.18413199999992</v>
      </c>
      <c r="DP33" s="15">
        <f t="shared" si="46"/>
        <v>1623.9079999999999</v>
      </c>
      <c r="DR33" s="79" t="s">
        <v>31</v>
      </c>
      <c r="DS33" s="79" t="s">
        <v>25</v>
      </c>
      <c r="DT33" s="71">
        <v>31</v>
      </c>
      <c r="DU33" s="71">
        <v>37</v>
      </c>
      <c r="DV33" s="82">
        <v>0.83783783783783783</v>
      </c>
      <c r="DW33" s="71">
        <v>3</v>
      </c>
      <c r="DX33" s="71">
        <v>10</v>
      </c>
      <c r="DY33" s="82">
        <v>0.3</v>
      </c>
      <c r="DZ33" s="59">
        <v>5</v>
      </c>
      <c r="EA33" s="59">
        <v>16</v>
      </c>
      <c r="EB33" s="84">
        <v>0.3125</v>
      </c>
      <c r="EC33" s="9">
        <v>6</v>
      </c>
      <c r="ED33" s="9">
        <v>17</v>
      </c>
      <c r="EE33" s="19">
        <f t="shared" si="47"/>
        <v>0.35294117647058826</v>
      </c>
      <c r="EF33" s="13">
        <f t="shared" si="70"/>
        <v>0.24705882352941172</v>
      </c>
      <c r="EG33" s="13">
        <f t="shared" si="48"/>
        <v>3.7058823529411755E-2</v>
      </c>
      <c r="EH33" s="52">
        <f t="shared" si="71"/>
        <v>0.39</v>
      </c>
      <c r="EI33" s="15">
        <f t="shared" si="49"/>
        <v>6.63</v>
      </c>
      <c r="EJ33" s="15">
        <f t="shared" si="50"/>
        <v>17</v>
      </c>
      <c r="EL33" s="71" t="s">
        <v>31</v>
      </c>
      <c r="EM33" s="71" t="s">
        <v>25</v>
      </c>
      <c r="EN33" s="12">
        <v>0.8</v>
      </c>
      <c r="EO33" s="13">
        <v>0.33333333333333331</v>
      </c>
      <c r="EP33" s="21">
        <f t="shared" si="76"/>
        <v>0.8</v>
      </c>
    </row>
    <row r="34" spans="2:146" s="16" customFormat="1" ht="15.75" x14ac:dyDescent="0.25">
      <c r="B34" s="80"/>
      <c r="C34" s="90" t="s">
        <v>25</v>
      </c>
      <c r="D34" s="68">
        <v>9</v>
      </c>
      <c r="E34" s="68">
        <v>12</v>
      </c>
      <c r="F34" s="62">
        <v>0.75</v>
      </c>
      <c r="G34" s="61">
        <v>1</v>
      </c>
      <c r="H34" s="61">
        <v>9</v>
      </c>
      <c r="I34" s="62">
        <v>0.1111111111111111</v>
      </c>
      <c r="J34" s="61">
        <v>3</v>
      </c>
      <c r="K34" s="61">
        <v>12</v>
      </c>
      <c r="L34" s="62">
        <v>0.25</v>
      </c>
      <c r="M34" s="26">
        <v>5</v>
      </c>
      <c r="N34" s="26">
        <v>13</v>
      </c>
      <c r="O34" s="25">
        <v>0.38461538461538464</v>
      </c>
      <c r="P34" s="28"/>
      <c r="Q34" s="28"/>
      <c r="R34" s="28"/>
      <c r="S34" s="28"/>
      <c r="T34" s="28"/>
      <c r="U34" s="28"/>
      <c r="V34" s="29"/>
      <c r="X34" s="80"/>
      <c r="Y34" s="90" t="s">
        <v>25</v>
      </c>
      <c r="Z34" s="68">
        <v>4705</v>
      </c>
      <c r="AA34" s="68">
        <v>5502</v>
      </c>
      <c r="AB34" s="100">
        <v>0.85514358415121772</v>
      </c>
      <c r="AC34" s="24"/>
      <c r="AD34" s="24"/>
      <c r="AE34" s="25"/>
      <c r="AF34" s="27"/>
      <c r="AG34" s="27"/>
      <c r="AH34" s="28"/>
      <c r="AI34" s="28"/>
      <c r="AJ34" s="28"/>
      <c r="AK34" s="31"/>
      <c r="AL34" s="31"/>
      <c r="AN34" s="80"/>
      <c r="AO34" s="90" t="s">
        <v>25</v>
      </c>
      <c r="AP34" s="73">
        <v>591</v>
      </c>
      <c r="AQ34" s="73">
        <v>2383</v>
      </c>
      <c r="AR34" s="74">
        <v>0.24800671422576584</v>
      </c>
      <c r="AS34" s="61">
        <v>857</v>
      </c>
      <c r="AT34" s="61">
        <v>2384</v>
      </c>
      <c r="AU34" s="74">
        <v>0.35947986577181207</v>
      </c>
      <c r="AV34" s="26">
        <v>987</v>
      </c>
      <c r="AW34" s="26">
        <v>2384</v>
      </c>
      <c r="AX34" s="32">
        <v>0.41401006711409394</v>
      </c>
      <c r="AY34" s="28"/>
      <c r="AZ34" s="28"/>
      <c r="BA34" s="28"/>
      <c r="BB34" s="28"/>
      <c r="BC34" s="28"/>
      <c r="BD34" s="31"/>
      <c r="BE34" s="31"/>
      <c r="BG34" s="80"/>
      <c r="BH34" s="90" t="s">
        <v>25</v>
      </c>
      <c r="BI34" s="68">
        <v>28</v>
      </c>
      <c r="BJ34" s="68">
        <v>314</v>
      </c>
      <c r="BK34" s="85">
        <v>8.9171974522292988E-2</v>
      </c>
      <c r="BL34" s="61">
        <v>41</v>
      </c>
      <c r="BM34" s="86">
        <v>56.25</v>
      </c>
      <c r="BN34" s="87">
        <v>0.13057324840764331</v>
      </c>
      <c r="BO34" s="24">
        <v>46</v>
      </c>
      <c r="BP34" s="24">
        <v>314</v>
      </c>
      <c r="BQ34" s="25">
        <v>0.1464968152866242</v>
      </c>
      <c r="BR34" s="28"/>
      <c r="BS34" s="28"/>
      <c r="BT34" s="28"/>
      <c r="BU34" s="28"/>
      <c r="BV34" s="28"/>
      <c r="BW34" s="28"/>
      <c r="BX34" s="29"/>
      <c r="BZ34" s="80"/>
      <c r="CA34" s="90" t="s">
        <v>25</v>
      </c>
      <c r="CB34" s="73">
        <v>1061</v>
      </c>
      <c r="CC34" s="97">
        <v>3371.3</v>
      </c>
      <c r="CD34" s="85">
        <v>0.31471539168866608</v>
      </c>
      <c r="CE34" s="34">
        <v>782</v>
      </c>
      <c r="CF34" s="34">
        <v>3956.5589999999997</v>
      </c>
      <c r="CG34" s="33">
        <v>0.19764649029623976</v>
      </c>
      <c r="CH34" s="28"/>
      <c r="CI34" s="28"/>
      <c r="CJ34" s="28"/>
      <c r="CK34" s="28"/>
      <c r="CL34" s="28"/>
      <c r="CM34" s="28"/>
      <c r="CN34" s="29"/>
      <c r="CP34" s="80"/>
      <c r="CQ34" s="90" t="s">
        <v>25</v>
      </c>
      <c r="CR34" s="23"/>
      <c r="CS34" s="23"/>
      <c r="CT34" s="23"/>
      <c r="CU34" s="23"/>
      <c r="CV34" s="23"/>
      <c r="CW34" s="33"/>
      <c r="CX34" s="28"/>
      <c r="CY34" s="28"/>
      <c r="CZ34" s="28"/>
      <c r="DA34" s="28"/>
      <c r="DB34" s="29"/>
      <c r="DD34" s="80"/>
      <c r="DE34" s="90" t="s">
        <v>25</v>
      </c>
      <c r="DF34" s="73">
        <v>4832</v>
      </c>
      <c r="DG34" s="97">
        <v>6645.6410000000005</v>
      </c>
      <c r="DH34" s="85">
        <v>0.72709314270812997</v>
      </c>
      <c r="DI34" s="23">
        <v>2666</v>
      </c>
      <c r="DJ34" s="101">
        <v>9084.271999999999</v>
      </c>
      <c r="DK34" s="33">
        <v>0.29347425968751267</v>
      </c>
      <c r="DL34" s="28"/>
      <c r="DM34" s="28"/>
      <c r="DN34" s="28"/>
      <c r="DO34" s="28"/>
      <c r="DP34" s="29"/>
      <c r="DR34" s="80"/>
      <c r="DS34" s="90" t="s">
        <v>25</v>
      </c>
      <c r="DT34" s="73">
        <v>115</v>
      </c>
      <c r="DU34" s="73">
        <v>150</v>
      </c>
      <c r="DV34" s="85">
        <v>0.76666666666666672</v>
      </c>
      <c r="DW34" s="73">
        <v>54</v>
      </c>
      <c r="DX34" s="73">
        <v>76</v>
      </c>
      <c r="DY34" s="85">
        <v>0.71052631578947367</v>
      </c>
      <c r="DZ34" s="61">
        <v>71</v>
      </c>
      <c r="EA34" s="61">
        <v>99</v>
      </c>
      <c r="EB34" s="87">
        <v>0.71717171717171713</v>
      </c>
      <c r="EC34" s="24">
        <v>74</v>
      </c>
      <c r="ED34" s="24">
        <v>104</v>
      </c>
      <c r="EE34" s="23"/>
      <c r="EF34" s="28"/>
      <c r="EG34" s="28"/>
      <c r="EH34" s="98"/>
      <c r="EI34" s="28"/>
      <c r="EJ34" s="26">
        <v>99</v>
      </c>
      <c r="EL34" s="93"/>
      <c r="EM34" s="73" t="s">
        <v>25</v>
      </c>
      <c r="EN34" s="27">
        <v>0.8</v>
      </c>
      <c r="EO34" s="28">
        <v>0.46</v>
      </c>
      <c r="EP34" s="28">
        <f>EN34</f>
        <v>0.8</v>
      </c>
    </row>
    <row r="35" spans="2:146" s="16" customFormat="1" ht="15.75" x14ac:dyDescent="0.25">
      <c r="B35" s="79" t="s">
        <v>32</v>
      </c>
      <c r="C35" s="79" t="s">
        <v>33</v>
      </c>
      <c r="D35" s="67">
        <v>6</v>
      </c>
      <c r="E35" s="67">
        <v>9</v>
      </c>
      <c r="F35" s="60">
        <v>0.66666666666666663</v>
      </c>
      <c r="G35" s="59">
        <v>6</v>
      </c>
      <c r="H35" s="59">
        <v>5</v>
      </c>
      <c r="I35" s="60">
        <v>1.2</v>
      </c>
      <c r="J35" s="59">
        <v>7</v>
      </c>
      <c r="K35" s="59">
        <v>5</v>
      </c>
      <c r="L35" s="60">
        <v>1.4</v>
      </c>
      <c r="M35" s="11">
        <v>7</v>
      </c>
      <c r="N35" s="11">
        <v>5</v>
      </c>
      <c r="O35" s="10">
        <v>1.4</v>
      </c>
      <c r="P35" s="13" t="str">
        <f t="shared" ref="P35:P41" si="77">IF(O35&lt;$P$3,$P$3-O35,"-")</f>
        <v>-</v>
      </c>
      <c r="Q35" s="56" t="str">
        <f t="shared" ref="Q35:Q41" si="78">IFERROR(P35*N35,"-")</f>
        <v>-</v>
      </c>
      <c r="R35" s="12" t="str">
        <f t="shared" si="51"/>
        <v>-</v>
      </c>
      <c r="S35" s="56" t="str">
        <f t="shared" ref="S35:S41" si="79">IFERROR(R35*N35,"-")</f>
        <v>-</v>
      </c>
      <c r="T35" s="52">
        <f t="shared" ref="T35:T41" si="80">IFERROR((R35+O35),IF(O35&gt;=$P$3,O35))</f>
        <v>1.4</v>
      </c>
      <c r="U35" s="15">
        <f t="shared" si="23"/>
        <v>7</v>
      </c>
      <c r="V35" s="15">
        <f t="shared" si="24"/>
        <v>5</v>
      </c>
      <c r="X35" s="79" t="s">
        <v>32</v>
      </c>
      <c r="Y35" s="79" t="s">
        <v>33</v>
      </c>
      <c r="Z35" s="67">
        <v>2668</v>
      </c>
      <c r="AA35" s="67">
        <v>3670</v>
      </c>
      <c r="AB35" s="99">
        <v>0.72697547683923702</v>
      </c>
      <c r="AC35" s="9">
        <v>2668</v>
      </c>
      <c r="AD35" s="9">
        <v>6184</v>
      </c>
      <c r="AE35" s="10">
        <f t="shared" si="25"/>
        <v>0.43143596377749027</v>
      </c>
      <c r="AF35" s="13">
        <f t="shared" ref="AF35:AF41" si="81">IF(AE35&lt;$AG$3,$AG$3-AE35,"-")</f>
        <v>0.36856403622250977</v>
      </c>
      <c r="AG35" s="56">
        <f t="shared" si="72"/>
        <v>2279.2000000000003</v>
      </c>
      <c r="AH35" s="13">
        <f t="shared" si="27"/>
        <v>9.2141009055627443E-2</v>
      </c>
      <c r="AI35" s="56">
        <f t="shared" si="28"/>
        <v>569.80000000000007</v>
      </c>
      <c r="AJ35" s="14">
        <f t="shared" si="29"/>
        <v>0.52357697283311766</v>
      </c>
      <c r="AK35" s="15">
        <f t="shared" si="30"/>
        <v>3237.7999999999997</v>
      </c>
      <c r="AL35" s="15">
        <f t="shared" si="31"/>
        <v>6184</v>
      </c>
      <c r="AN35" s="79" t="s">
        <v>32</v>
      </c>
      <c r="AO35" s="79" t="s">
        <v>33</v>
      </c>
      <c r="AP35" s="71">
        <v>718</v>
      </c>
      <c r="AQ35" s="71">
        <v>2794</v>
      </c>
      <c r="AR35" s="72">
        <v>0.25697924123120974</v>
      </c>
      <c r="AS35" s="59">
        <v>1016</v>
      </c>
      <c r="AT35" s="59">
        <v>2794</v>
      </c>
      <c r="AU35" s="72">
        <v>0.36363636363636365</v>
      </c>
      <c r="AV35" s="11">
        <v>1133</v>
      </c>
      <c r="AW35" s="11">
        <v>2794</v>
      </c>
      <c r="AX35" s="17">
        <v>0.40551181102362205</v>
      </c>
      <c r="AY35" s="13" t="str">
        <f t="shared" si="73"/>
        <v>-</v>
      </c>
      <c r="AZ35" s="56" t="str">
        <f t="shared" ref="AZ35:AZ41" si="82">IFERROR(AY35*AW35,"-")</f>
        <v>-</v>
      </c>
      <c r="BA35" s="13" t="str">
        <f t="shared" si="32"/>
        <v>-</v>
      </c>
      <c r="BB35" s="56" t="str">
        <f t="shared" ref="BB35:BB41" si="83">IFERROR(BA35*AW35,"-")</f>
        <v>-</v>
      </c>
      <c r="BC35" s="52">
        <f t="shared" ref="BC35:BC41" si="84">IFERROR((BA35+AX35),IF(AX35&gt;=35%,AX35))</f>
        <v>0.40551181102362205</v>
      </c>
      <c r="BD35" s="15">
        <f t="shared" si="33"/>
        <v>1133</v>
      </c>
      <c r="BE35" s="15">
        <v>2794</v>
      </c>
      <c r="BG35" s="79" t="s">
        <v>32</v>
      </c>
      <c r="BH35" s="79" t="s">
        <v>33</v>
      </c>
      <c r="BI35" s="67">
        <v>29</v>
      </c>
      <c r="BJ35" s="67">
        <v>321</v>
      </c>
      <c r="BK35" s="82">
        <f t="shared" si="34"/>
        <v>9.0342679127725853E-2</v>
      </c>
      <c r="BL35" s="59">
        <v>60</v>
      </c>
      <c r="BM35" s="83">
        <v>34.25</v>
      </c>
      <c r="BN35" s="84">
        <v>0.18691588785046728</v>
      </c>
      <c r="BO35" s="9">
        <v>64</v>
      </c>
      <c r="BP35" s="9">
        <v>321</v>
      </c>
      <c r="BQ35" s="10">
        <v>0.19937694704049844</v>
      </c>
      <c r="BR35" s="13" t="str">
        <f t="shared" ref="BR35:BR41" si="85">IF(BQ35&lt;$BR$3,$BR$3-BQ35,"-")</f>
        <v>-</v>
      </c>
      <c r="BS35" s="56" t="str">
        <f t="shared" ref="BS35:BS41" si="86">IFERROR(BR35*BP35,"-")</f>
        <v>-</v>
      </c>
      <c r="BT35" s="13" t="str">
        <f>IFERROR(BR35*0.5,"-")</f>
        <v>-</v>
      </c>
      <c r="BU35" s="56" t="str">
        <f t="shared" ref="BU35:BU41" si="87">IFERROR(BT35*BP35,"-")</f>
        <v>-</v>
      </c>
      <c r="BV35" s="52">
        <f t="shared" ref="BV35:BV41" si="88">IFERROR((BT35+BQ35),IF(BQ35&gt;=11%,BQ35))</f>
        <v>0.19937694704049844</v>
      </c>
      <c r="BW35" s="15">
        <f t="shared" si="36"/>
        <v>64</v>
      </c>
      <c r="BX35" s="15">
        <f t="shared" si="37"/>
        <v>321</v>
      </c>
      <c r="BZ35" s="79" t="s">
        <v>32</v>
      </c>
      <c r="CA35" s="79" t="s">
        <v>33</v>
      </c>
      <c r="CB35" s="71">
        <v>503</v>
      </c>
      <c r="CC35" s="96">
        <v>2168.9499999999998</v>
      </c>
      <c r="CD35" s="82">
        <v>0.23190944927268958</v>
      </c>
      <c r="CE35" s="20">
        <v>411</v>
      </c>
      <c r="CF35" s="20">
        <v>2343.5609999999997</v>
      </c>
      <c r="CG35" s="18">
        <v>0.17537414217082467</v>
      </c>
      <c r="CH35" s="13">
        <f t="shared" ref="CH35:CH41" si="89">IF(CG35&lt;$CH$3,$CH$3-CG35,"-")</f>
        <v>0.10462585782917536</v>
      </c>
      <c r="CI35" s="13"/>
      <c r="CJ35" s="13">
        <f t="shared" si="38"/>
        <v>3.1387757348752605E-2</v>
      </c>
      <c r="CK35" s="13"/>
      <c r="CL35" s="14">
        <f t="shared" ref="CL35:CL41" si="90">IFERROR((CJ35+CG35),IF(CG35&gt;$CH$3,CG35))</f>
        <v>0.20676189951957727</v>
      </c>
      <c r="CM35" s="15">
        <f t="shared" si="39"/>
        <v>484.55912399999994</v>
      </c>
      <c r="CN35" s="15">
        <f t="shared" si="40"/>
        <v>2343.5609999999997</v>
      </c>
      <c r="CP35" s="79" t="s">
        <v>32</v>
      </c>
      <c r="CQ35" s="79" t="s">
        <v>33</v>
      </c>
      <c r="CR35" s="16">
        <v>518</v>
      </c>
      <c r="CS35" s="16">
        <v>1623</v>
      </c>
      <c r="CT35" s="108">
        <v>0.31916204559457795</v>
      </c>
      <c r="CU35" s="8">
        <v>861</v>
      </c>
      <c r="CV35" s="8">
        <v>1183</v>
      </c>
      <c r="CW35" s="18">
        <v>0.72781065088757402</v>
      </c>
      <c r="CX35" s="13">
        <f t="shared" ref="CX35:CX41" si="91">IF(CW35&lt;$CX$3,$CX$3-CW35,"-")</f>
        <v>0.172189349112426</v>
      </c>
      <c r="CY35" s="13">
        <f t="shared" si="41"/>
        <v>8.6094674556213002E-2</v>
      </c>
      <c r="CZ35" s="14">
        <f t="shared" ref="CZ35:CZ41" si="92">IFERROR((CY35+CW35),IF(CW35&gt;=$CX$3,CW35))</f>
        <v>0.81390532544378702</v>
      </c>
      <c r="DA35" s="15">
        <f t="shared" si="75"/>
        <v>962.85</v>
      </c>
      <c r="DB35" s="15">
        <f t="shared" si="43"/>
        <v>1183</v>
      </c>
      <c r="DD35" s="79" t="s">
        <v>32</v>
      </c>
      <c r="DE35" s="79" t="s">
        <v>33</v>
      </c>
      <c r="DF35" s="71">
        <v>1668</v>
      </c>
      <c r="DG35" s="96">
        <v>4046.2809999999999</v>
      </c>
      <c r="DH35" s="82">
        <v>0.41223039131488892</v>
      </c>
      <c r="DI35" s="8">
        <v>1285</v>
      </c>
      <c r="DJ35" s="35">
        <v>5264.9080000000004</v>
      </c>
      <c r="DK35" s="18">
        <v>0.24406884222858213</v>
      </c>
      <c r="DL35" s="13">
        <f t="shared" ref="DL35:DL41" si="93">IF(DK35&lt;$DL$3,$DL$3-DK35,"-")</f>
        <v>0.18593115777141786</v>
      </c>
      <c r="DM35" s="13">
        <f t="shared" si="44"/>
        <v>5.5779347331425359E-2</v>
      </c>
      <c r="DN35" s="14">
        <f t="shared" ref="DN35:DN41" si="94">IFERROR((DM35+DK35),IF(DK35&gt;=DK35,DK35))</f>
        <v>0.29984818956000747</v>
      </c>
      <c r="DO35" s="15">
        <f t="shared" si="45"/>
        <v>1578.6731319999999</v>
      </c>
      <c r="DP35" s="15">
        <f t="shared" si="46"/>
        <v>5264.9080000000004</v>
      </c>
      <c r="DR35" s="79" t="s">
        <v>32</v>
      </c>
      <c r="DS35" s="79" t="s">
        <v>33</v>
      </c>
      <c r="DT35" s="71">
        <v>88</v>
      </c>
      <c r="DU35" s="71">
        <v>130</v>
      </c>
      <c r="DV35" s="82">
        <v>0.67692307692307696</v>
      </c>
      <c r="DW35" s="71">
        <v>30</v>
      </c>
      <c r="DX35" s="71">
        <v>53</v>
      </c>
      <c r="DY35" s="82">
        <v>0.56603773584905659</v>
      </c>
      <c r="DZ35" s="59">
        <v>40</v>
      </c>
      <c r="EA35" s="59">
        <v>77</v>
      </c>
      <c r="EB35" s="84">
        <v>0.51948051948051943</v>
      </c>
      <c r="EC35" s="9">
        <v>50</v>
      </c>
      <c r="ED35" s="9">
        <v>95</v>
      </c>
      <c r="EE35" s="19">
        <f t="shared" si="47"/>
        <v>0.52631578947368418</v>
      </c>
      <c r="EF35" s="13">
        <f t="shared" ref="EF35:EF41" si="95">IF(EE35&lt;$EF$3,$EF$3-EE35,"-")</f>
        <v>7.3684210526315796E-2</v>
      </c>
      <c r="EG35" s="13">
        <f t="shared" si="48"/>
        <v>1.1052631578947369E-2</v>
      </c>
      <c r="EH35" s="14">
        <f t="shared" ref="EH35:EH41" si="96">IFERROR((EG35+EE35),IF(EE35&gt;=$EF$3,EE35))</f>
        <v>0.5373684210526315</v>
      </c>
      <c r="EI35" s="15">
        <f t="shared" si="49"/>
        <v>51.04999999999999</v>
      </c>
      <c r="EJ35" s="15">
        <f t="shared" si="50"/>
        <v>95</v>
      </c>
      <c r="EL35" s="71" t="s">
        <v>32</v>
      </c>
      <c r="EM35" s="71" t="s">
        <v>33</v>
      </c>
      <c r="EN35" s="12">
        <v>0.8</v>
      </c>
      <c r="EO35" s="13">
        <v>0.44444444444444442</v>
      </c>
      <c r="EP35" s="21">
        <f>EN35</f>
        <v>0.8</v>
      </c>
    </row>
    <row r="36" spans="2:146" s="16" customFormat="1" ht="15.75" x14ac:dyDescent="0.25">
      <c r="B36" s="79" t="s">
        <v>34</v>
      </c>
      <c r="C36" s="79" t="s">
        <v>33</v>
      </c>
      <c r="D36" s="67">
        <v>3</v>
      </c>
      <c r="E36" s="67">
        <v>4</v>
      </c>
      <c r="F36" s="60">
        <v>0.75</v>
      </c>
      <c r="G36" s="59">
        <v>0</v>
      </c>
      <c r="H36" s="59">
        <v>3</v>
      </c>
      <c r="I36" s="60">
        <v>0</v>
      </c>
      <c r="J36" s="59">
        <v>0</v>
      </c>
      <c r="K36" s="59">
        <v>5</v>
      </c>
      <c r="L36" s="60">
        <v>0</v>
      </c>
      <c r="M36" s="11">
        <v>0</v>
      </c>
      <c r="N36" s="11">
        <v>5</v>
      </c>
      <c r="O36" s="10">
        <v>0</v>
      </c>
      <c r="P36" s="13">
        <f t="shared" si="77"/>
        <v>0.9</v>
      </c>
      <c r="Q36" s="56">
        <f t="shared" si="78"/>
        <v>4.5</v>
      </c>
      <c r="R36" s="12">
        <f t="shared" si="51"/>
        <v>0.27</v>
      </c>
      <c r="S36" s="56">
        <f t="shared" si="79"/>
        <v>1.35</v>
      </c>
      <c r="T36" s="14">
        <f t="shared" si="80"/>
        <v>0.27</v>
      </c>
      <c r="U36" s="15">
        <f t="shared" si="23"/>
        <v>1.35</v>
      </c>
      <c r="V36" s="15">
        <f t="shared" si="24"/>
        <v>5</v>
      </c>
      <c r="X36" s="79" t="s">
        <v>34</v>
      </c>
      <c r="Y36" s="79" t="s">
        <v>33</v>
      </c>
      <c r="Z36" s="67">
        <v>707</v>
      </c>
      <c r="AA36" s="67">
        <v>820</v>
      </c>
      <c r="AB36" s="99">
        <v>0.8621951219512195</v>
      </c>
      <c r="AC36" s="9">
        <v>707</v>
      </c>
      <c r="AD36" s="9">
        <v>1131</v>
      </c>
      <c r="AE36" s="10">
        <f t="shared" si="25"/>
        <v>0.62511052166224579</v>
      </c>
      <c r="AF36" s="13">
        <f t="shared" si="81"/>
        <v>0.17488947833775426</v>
      </c>
      <c r="AG36" s="56">
        <f t="shared" si="72"/>
        <v>197.80000000000007</v>
      </c>
      <c r="AH36" s="13">
        <f t="shared" si="27"/>
        <v>4.3722369584438564E-2</v>
      </c>
      <c r="AI36" s="56">
        <f t="shared" si="28"/>
        <v>49.450000000000017</v>
      </c>
      <c r="AJ36" s="14">
        <f t="shared" si="29"/>
        <v>0.66883289124668432</v>
      </c>
      <c r="AK36" s="15">
        <f t="shared" si="30"/>
        <v>756.44999999999993</v>
      </c>
      <c r="AL36" s="15">
        <f t="shared" si="31"/>
        <v>1131</v>
      </c>
      <c r="AN36" s="79" t="s">
        <v>34</v>
      </c>
      <c r="AO36" s="79" t="s">
        <v>33</v>
      </c>
      <c r="AP36" s="71">
        <v>44</v>
      </c>
      <c r="AQ36" s="71">
        <v>344</v>
      </c>
      <c r="AR36" s="72">
        <v>0.12790697674418605</v>
      </c>
      <c r="AS36" s="59">
        <v>111</v>
      </c>
      <c r="AT36" s="59">
        <v>344</v>
      </c>
      <c r="AU36" s="72">
        <v>0.32267441860465118</v>
      </c>
      <c r="AV36" s="11">
        <v>125</v>
      </c>
      <c r="AW36" s="11">
        <v>344</v>
      </c>
      <c r="AX36" s="17">
        <v>0.36337209302325579</v>
      </c>
      <c r="AY36" s="13" t="str">
        <f t="shared" si="73"/>
        <v>-</v>
      </c>
      <c r="AZ36" s="56" t="str">
        <f t="shared" si="82"/>
        <v>-</v>
      </c>
      <c r="BA36" s="13" t="str">
        <f t="shared" si="32"/>
        <v>-</v>
      </c>
      <c r="BB36" s="56" t="str">
        <f t="shared" si="83"/>
        <v>-</v>
      </c>
      <c r="BC36" s="52">
        <f t="shared" si="84"/>
        <v>0.36337209302325579</v>
      </c>
      <c r="BD36" s="15">
        <f t="shared" si="33"/>
        <v>125</v>
      </c>
      <c r="BE36" s="15">
        <v>344</v>
      </c>
      <c r="BG36" s="79" t="s">
        <v>34</v>
      </c>
      <c r="BH36" s="79" t="s">
        <v>33</v>
      </c>
      <c r="BI36" s="67">
        <v>1</v>
      </c>
      <c r="BJ36" s="67">
        <v>46</v>
      </c>
      <c r="BK36" s="82">
        <f t="shared" si="34"/>
        <v>2.1739130434782608E-2</v>
      </c>
      <c r="BL36" s="59">
        <v>2</v>
      </c>
      <c r="BM36" s="83">
        <v>26.75</v>
      </c>
      <c r="BN36" s="84">
        <v>4.3478260869565216E-2</v>
      </c>
      <c r="BO36" s="9">
        <v>3</v>
      </c>
      <c r="BP36" s="9">
        <v>46</v>
      </c>
      <c r="BQ36" s="10">
        <v>6.5217391304347824E-2</v>
      </c>
      <c r="BR36" s="13">
        <f t="shared" si="85"/>
        <v>4.4782608695652176E-2</v>
      </c>
      <c r="BS36" s="56">
        <f t="shared" si="86"/>
        <v>2.06</v>
      </c>
      <c r="BT36" s="13">
        <f t="shared" ref="BT36:BT41" si="97">IFERROR(BR36*0.5,"-")</f>
        <v>2.2391304347826088E-2</v>
      </c>
      <c r="BU36" s="56">
        <f t="shared" si="87"/>
        <v>1.03</v>
      </c>
      <c r="BV36" s="53">
        <f t="shared" si="88"/>
        <v>8.7608695652173912E-2</v>
      </c>
      <c r="BW36" s="15">
        <f t="shared" si="36"/>
        <v>4.03</v>
      </c>
      <c r="BX36" s="15">
        <f t="shared" si="37"/>
        <v>46</v>
      </c>
      <c r="BZ36" s="79" t="s">
        <v>34</v>
      </c>
      <c r="CA36" s="79" t="s">
        <v>33</v>
      </c>
      <c r="CB36" s="71">
        <v>156</v>
      </c>
      <c r="CC36" s="96">
        <v>397.05</v>
      </c>
      <c r="CD36" s="82">
        <v>0.39289761994710992</v>
      </c>
      <c r="CE36" s="20">
        <v>94</v>
      </c>
      <c r="CF36" s="20">
        <v>440.71199999999999</v>
      </c>
      <c r="CG36" s="18">
        <v>0.2132912196627276</v>
      </c>
      <c r="CH36" s="13">
        <f t="shared" si="89"/>
        <v>6.6708780337272428E-2</v>
      </c>
      <c r="CI36" s="13"/>
      <c r="CJ36" s="13">
        <f t="shared" si="38"/>
        <v>2.0012634101181728E-2</v>
      </c>
      <c r="CK36" s="13"/>
      <c r="CL36" s="14">
        <f t="shared" si="90"/>
        <v>0.23330385376390933</v>
      </c>
      <c r="CM36" s="15">
        <f t="shared" si="39"/>
        <v>102.81980800000001</v>
      </c>
      <c r="CN36" s="15">
        <f t="shared" si="40"/>
        <v>440.71199999999999</v>
      </c>
      <c r="CP36" s="79" t="s">
        <v>34</v>
      </c>
      <c r="CQ36" s="79" t="s">
        <v>33</v>
      </c>
      <c r="CR36" s="16">
        <v>123</v>
      </c>
      <c r="CS36" s="16">
        <v>332</v>
      </c>
      <c r="CT36" s="108">
        <v>0.37048192771084337</v>
      </c>
      <c r="CU36" s="8">
        <v>195</v>
      </c>
      <c r="CV36" s="8">
        <v>242</v>
      </c>
      <c r="CW36" s="18">
        <v>0.80578512396694213</v>
      </c>
      <c r="CX36" s="13">
        <f t="shared" si="91"/>
        <v>9.4214876033057893E-2</v>
      </c>
      <c r="CY36" s="13">
        <f t="shared" si="41"/>
        <v>4.7107438016528946E-2</v>
      </c>
      <c r="CZ36" s="14">
        <f t="shared" si="92"/>
        <v>0.85289256198347108</v>
      </c>
      <c r="DA36" s="15">
        <f t="shared" si="75"/>
        <v>206.4</v>
      </c>
      <c r="DB36" s="15">
        <f t="shared" si="43"/>
        <v>242</v>
      </c>
      <c r="DD36" s="79" t="s">
        <v>34</v>
      </c>
      <c r="DE36" s="79" t="s">
        <v>33</v>
      </c>
      <c r="DF36" s="71">
        <v>509</v>
      </c>
      <c r="DG36" s="96">
        <v>740.85299999999995</v>
      </c>
      <c r="DH36" s="82">
        <v>0.68704587819715923</v>
      </c>
      <c r="DI36" s="8">
        <v>192</v>
      </c>
      <c r="DJ36" s="35">
        <v>996.09500000000003</v>
      </c>
      <c r="DK36" s="18">
        <v>0.1927526992907303</v>
      </c>
      <c r="DL36" s="13">
        <f t="shared" si="93"/>
        <v>0.23724730070926969</v>
      </c>
      <c r="DM36" s="13">
        <f t="shared" si="44"/>
        <v>7.1174190212780902E-2</v>
      </c>
      <c r="DN36" s="14">
        <f t="shared" si="94"/>
        <v>0.26392688950351118</v>
      </c>
      <c r="DO36" s="15">
        <f t="shared" si="45"/>
        <v>262.896255</v>
      </c>
      <c r="DP36" s="15">
        <f t="shared" si="46"/>
        <v>996.09500000000003</v>
      </c>
      <c r="DR36" s="79" t="s">
        <v>34</v>
      </c>
      <c r="DS36" s="79" t="s">
        <v>33</v>
      </c>
      <c r="DT36" s="71">
        <v>11</v>
      </c>
      <c r="DU36" s="71">
        <v>16</v>
      </c>
      <c r="DV36" s="82">
        <v>0.6875</v>
      </c>
      <c r="DW36" s="71">
        <v>12</v>
      </c>
      <c r="DX36" s="71">
        <v>20</v>
      </c>
      <c r="DY36" s="82">
        <v>0.6</v>
      </c>
      <c r="DZ36" s="59">
        <v>17</v>
      </c>
      <c r="EA36" s="59">
        <v>26</v>
      </c>
      <c r="EB36" s="84">
        <v>0.65384615384615385</v>
      </c>
      <c r="EC36" s="9">
        <v>19</v>
      </c>
      <c r="ED36" s="9">
        <v>29</v>
      </c>
      <c r="EE36" s="19">
        <f t="shared" si="47"/>
        <v>0.65517241379310343</v>
      </c>
      <c r="EF36" s="13" t="str">
        <f t="shared" si="95"/>
        <v>-</v>
      </c>
      <c r="EG36" s="13" t="str">
        <f t="shared" si="48"/>
        <v>-</v>
      </c>
      <c r="EH36" s="52">
        <f t="shared" si="96"/>
        <v>0.65517241379310343</v>
      </c>
      <c r="EI36" s="15">
        <f t="shared" si="49"/>
        <v>19</v>
      </c>
      <c r="EJ36" s="15">
        <f t="shared" si="50"/>
        <v>29</v>
      </c>
      <c r="EL36" s="71" t="s">
        <v>34</v>
      </c>
      <c r="EM36" s="71" t="s">
        <v>33</v>
      </c>
      <c r="EN36" s="12">
        <v>0.8</v>
      </c>
      <c r="EO36" s="13">
        <v>0.375</v>
      </c>
      <c r="EP36" s="21">
        <f t="shared" ref="EP36:EP41" si="98">EN36</f>
        <v>0.8</v>
      </c>
    </row>
    <row r="37" spans="2:146" s="16" customFormat="1" ht="15.75" x14ac:dyDescent="0.25">
      <c r="B37" s="79" t="s">
        <v>35</v>
      </c>
      <c r="C37" s="79" t="s">
        <v>33</v>
      </c>
      <c r="D37" s="67">
        <v>1</v>
      </c>
      <c r="E37" s="67">
        <v>6</v>
      </c>
      <c r="F37" s="60">
        <v>0.16666666666666666</v>
      </c>
      <c r="G37" s="59">
        <v>1</v>
      </c>
      <c r="H37" s="59">
        <v>1</v>
      </c>
      <c r="I37" s="60">
        <v>1</v>
      </c>
      <c r="J37" s="59">
        <v>1</v>
      </c>
      <c r="K37" s="59">
        <v>2</v>
      </c>
      <c r="L37" s="60">
        <v>0.5</v>
      </c>
      <c r="M37" s="11">
        <v>2</v>
      </c>
      <c r="N37" s="11">
        <v>3</v>
      </c>
      <c r="O37" s="10">
        <v>0.66666666666666663</v>
      </c>
      <c r="P37" s="13">
        <f t="shared" si="77"/>
        <v>0.23333333333333339</v>
      </c>
      <c r="Q37" s="56">
        <f t="shared" si="78"/>
        <v>0.70000000000000018</v>
      </c>
      <c r="R37" s="12">
        <f t="shared" si="51"/>
        <v>7.0000000000000021E-2</v>
      </c>
      <c r="S37" s="56">
        <f t="shared" si="79"/>
        <v>0.21000000000000008</v>
      </c>
      <c r="T37" s="14">
        <f t="shared" si="80"/>
        <v>0.73666666666666669</v>
      </c>
      <c r="U37" s="15">
        <f t="shared" si="23"/>
        <v>2.21</v>
      </c>
      <c r="V37" s="15">
        <f t="shared" si="24"/>
        <v>3</v>
      </c>
      <c r="X37" s="79" t="s">
        <v>35</v>
      </c>
      <c r="Y37" s="79" t="s">
        <v>33</v>
      </c>
      <c r="Z37" s="67">
        <v>2704</v>
      </c>
      <c r="AA37" s="67">
        <v>2183</v>
      </c>
      <c r="AB37" s="99">
        <v>1.2386623912047641</v>
      </c>
      <c r="AC37" s="9">
        <v>2385</v>
      </c>
      <c r="AD37" s="9">
        <v>2918</v>
      </c>
      <c r="AE37" s="10">
        <f t="shared" si="25"/>
        <v>0.81734064427690201</v>
      </c>
      <c r="AF37" s="13" t="str">
        <f t="shared" si="81"/>
        <v>-</v>
      </c>
      <c r="AG37" s="56" t="str">
        <f t="shared" si="72"/>
        <v>-</v>
      </c>
      <c r="AH37" s="13" t="str">
        <f t="shared" si="27"/>
        <v>-</v>
      </c>
      <c r="AI37" s="56" t="str">
        <f t="shared" si="28"/>
        <v>-</v>
      </c>
      <c r="AJ37" s="52">
        <f>AE37</f>
        <v>0.81734064427690201</v>
      </c>
      <c r="AK37" s="15">
        <f t="shared" si="30"/>
        <v>2385</v>
      </c>
      <c r="AL37" s="15">
        <f t="shared" si="31"/>
        <v>2918</v>
      </c>
      <c r="AN37" s="79" t="s">
        <v>35</v>
      </c>
      <c r="AO37" s="79" t="s">
        <v>33</v>
      </c>
      <c r="AP37" s="71">
        <v>200</v>
      </c>
      <c r="AQ37" s="71">
        <v>1020</v>
      </c>
      <c r="AR37" s="72">
        <v>0.19607843137254902</v>
      </c>
      <c r="AS37" s="59">
        <v>310</v>
      </c>
      <c r="AT37" s="59">
        <v>1020</v>
      </c>
      <c r="AU37" s="72">
        <v>0.30392156862745096</v>
      </c>
      <c r="AV37" s="11">
        <v>359</v>
      </c>
      <c r="AW37" s="11">
        <v>1020</v>
      </c>
      <c r="AX37" s="17">
        <v>0.35196078431372552</v>
      </c>
      <c r="AY37" s="13" t="str">
        <f t="shared" si="73"/>
        <v>-</v>
      </c>
      <c r="AZ37" s="56" t="str">
        <f t="shared" si="82"/>
        <v>-</v>
      </c>
      <c r="BA37" s="13" t="str">
        <f t="shared" si="32"/>
        <v>-</v>
      </c>
      <c r="BB37" s="56" t="str">
        <f t="shared" si="83"/>
        <v>-</v>
      </c>
      <c r="BC37" s="52">
        <f t="shared" si="84"/>
        <v>0.35196078431372552</v>
      </c>
      <c r="BD37" s="15">
        <f t="shared" si="33"/>
        <v>359</v>
      </c>
      <c r="BE37" s="15">
        <v>1020</v>
      </c>
      <c r="BG37" s="79" t="s">
        <v>35</v>
      </c>
      <c r="BH37" s="79" t="s">
        <v>33</v>
      </c>
      <c r="BI37" s="67">
        <v>12</v>
      </c>
      <c r="BJ37" s="67">
        <v>135</v>
      </c>
      <c r="BK37" s="82">
        <f t="shared" si="34"/>
        <v>8.8888888888888892E-2</v>
      </c>
      <c r="BL37" s="59">
        <v>19</v>
      </c>
      <c r="BM37" s="83">
        <v>9.25</v>
      </c>
      <c r="BN37" s="84">
        <v>0.14074074074074075</v>
      </c>
      <c r="BO37" s="9">
        <v>23</v>
      </c>
      <c r="BP37" s="9">
        <v>135</v>
      </c>
      <c r="BQ37" s="10">
        <v>0.17037037037037037</v>
      </c>
      <c r="BR37" s="13" t="str">
        <f t="shared" si="85"/>
        <v>-</v>
      </c>
      <c r="BS37" s="56" t="str">
        <f t="shared" si="86"/>
        <v>-</v>
      </c>
      <c r="BT37" s="13" t="str">
        <f t="shared" si="97"/>
        <v>-</v>
      </c>
      <c r="BU37" s="56" t="str">
        <f t="shared" si="87"/>
        <v>-</v>
      </c>
      <c r="BV37" s="52">
        <f t="shared" si="88"/>
        <v>0.17037037037037037</v>
      </c>
      <c r="BW37" s="15">
        <f t="shared" si="36"/>
        <v>23</v>
      </c>
      <c r="BX37" s="15">
        <f t="shared" si="37"/>
        <v>135</v>
      </c>
      <c r="BZ37" s="79" t="s">
        <v>35</v>
      </c>
      <c r="CA37" s="79" t="s">
        <v>33</v>
      </c>
      <c r="CB37" s="71">
        <v>503</v>
      </c>
      <c r="CC37" s="96">
        <v>1155.2</v>
      </c>
      <c r="CD37" s="82">
        <v>0.43542243767313016</v>
      </c>
      <c r="CE37" s="20">
        <v>392</v>
      </c>
      <c r="CF37" s="20">
        <v>1391.4540000000002</v>
      </c>
      <c r="CG37" s="18">
        <v>0.28171969752503495</v>
      </c>
      <c r="CH37" s="13" t="str">
        <f t="shared" si="89"/>
        <v>-</v>
      </c>
      <c r="CI37" s="13"/>
      <c r="CJ37" s="13" t="str">
        <f t="shared" si="38"/>
        <v>-</v>
      </c>
      <c r="CK37" s="13"/>
      <c r="CL37" s="14">
        <f t="shared" si="90"/>
        <v>0.28171969752503495</v>
      </c>
      <c r="CM37" s="15">
        <f t="shared" si="39"/>
        <v>392.00000000000006</v>
      </c>
      <c r="CN37" s="15">
        <f t="shared" si="40"/>
        <v>1391.4540000000002</v>
      </c>
      <c r="CP37" s="79" t="s">
        <v>35</v>
      </c>
      <c r="CQ37" s="79" t="s">
        <v>33</v>
      </c>
      <c r="CR37" s="16">
        <v>961</v>
      </c>
      <c r="CS37" s="16">
        <v>1219</v>
      </c>
      <c r="CT37" s="108">
        <v>0.78835110746513537</v>
      </c>
      <c r="CU37" s="8">
        <v>867</v>
      </c>
      <c r="CV37" s="8">
        <v>938</v>
      </c>
      <c r="CW37" s="18">
        <v>0.92430703624733479</v>
      </c>
      <c r="CX37" s="13" t="str">
        <f t="shared" si="91"/>
        <v>-</v>
      </c>
      <c r="CY37" s="13" t="str">
        <f t="shared" si="41"/>
        <v>-</v>
      </c>
      <c r="CZ37" s="52">
        <f t="shared" si="92"/>
        <v>0.92430703624733479</v>
      </c>
      <c r="DA37" s="15">
        <f t="shared" si="75"/>
        <v>867</v>
      </c>
      <c r="DB37" s="15">
        <f t="shared" si="43"/>
        <v>938</v>
      </c>
      <c r="DD37" s="79" t="s">
        <v>35</v>
      </c>
      <c r="DE37" s="79" t="s">
        <v>33</v>
      </c>
      <c r="DF37" s="71">
        <v>1903</v>
      </c>
      <c r="DG37" s="96">
        <v>2277.59</v>
      </c>
      <c r="DH37" s="82">
        <v>0.83553229510140103</v>
      </c>
      <c r="DI37" s="8">
        <v>998</v>
      </c>
      <c r="DJ37" s="35">
        <v>3198.1150000000002</v>
      </c>
      <c r="DK37" s="18">
        <v>0.31205882214992264</v>
      </c>
      <c r="DL37" s="13">
        <f t="shared" si="93"/>
        <v>0.11794117785007735</v>
      </c>
      <c r="DM37" s="13">
        <f t="shared" si="44"/>
        <v>3.5382353355023204E-2</v>
      </c>
      <c r="DN37" s="14">
        <f t="shared" si="94"/>
        <v>0.34744117550494585</v>
      </c>
      <c r="DO37" s="15">
        <f t="shared" si="45"/>
        <v>1111.156835</v>
      </c>
      <c r="DP37" s="15">
        <f t="shared" si="46"/>
        <v>3198.1150000000002</v>
      </c>
      <c r="DR37" s="79" t="s">
        <v>35</v>
      </c>
      <c r="DS37" s="79" t="s">
        <v>33</v>
      </c>
      <c r="DT37" s="71">
        <v>39</v>
      </c>
      <c r="DU37" s="71">
        <v>88</v>
      </c>
      <c r="DV37" s="82">
        <v>0.44318181818181818</v>
      </c>
      <c r="DW37" s="71">
        <v>12</v>
      </c>
      <c r="DX37" s="71">
        <v>38</v>
      </c>
      <c r="DY37" s="82">
        <v>0.31578947368421051</v>
      </c>
      <c r="DZ37" s="59">
        <v>20</v>
      </c>
      <c r="EA37" s="59">
        <v>53</v>
      </c>
      <c r="EB37" s="84">
        <v>0.37735849056603776</v>
      </c>
      <c r="EC37" s="9">
        <v>26</v>
      </c>
      <c r="ED37" s="9">
        <v>60</v>
      </c>
      <c r="EE37" s="19">
        <f t="shared" si="47"/>
        <v>0.43333333333333335</v>
      </c>
      <c r="EF37" s="13">
        <f t="shared" si="95"/>
        <v>0.16666666666666663</v>
      </c>
      <c r="EG37" s="13">
        <f t="shared" si="48"/>
        <v>2.4999999999999994E-2</v>
      </c>
      <c r="EH37" s="14">
        <f t="shared" si="96"/>
        <v>0.45833333333333337</v>
      </c>
      <c r="EI37" s="15">
        <f t="shared" si="49"/>
        <v>27.500000000000004</v>
      </c>
      <c r="EJ37" s="15">
        <f t="shared" si="50"/>
        <v>60</v>
      </c>
      <c r="EL37" s="71" t="s">
        <v>35</v>
      </c>
      <c r="EM37" s="71" t="s">
        <v>33</v>
      </c>
      <c r="EN37" s="12">
        <v>0.8</v>
      </c>
      <c r="EO37" s="13">
        <v>0.21428571428571427</v>
      </c>
      <c r="EP37" s="21">
        <f t="shared" si="98"/>
        <v>0.8</v>
      </c>
    </row>
    <row r="38" spans="2:146" s="16" customFormat="1" ht="15.75" x14ac:dyDescent="0.25">
      <c r="B38" s="79" t="s">
        <v>36</v>
      </c>
      <c r="C38" s="79" t="s">
        <v>33</v>
      </c>
      <c r="D38" s="67">
        <v>3</v>
      </c>
      <c r="E38" s="67">
        <v>12</v>
      </c>
      <c r="F38" s="60">
        <v>0.25</v>
      </c>
      <c r="G38" s="59">
        <v>5</v>
      </c>
      <c r="H38" s="59">
        <v>7</v>
      </c>
      <c r="I38" s="60">
        <v>0.7142857142857143</v>
      </c>
      <c r="J38" s="59">
        <v>5</v>
      </c>
      <c r="K38" s="59">
        <v>8</v>
      </c>
      <c r="L38" s="60">
        <v>0.625</v>
      </c>
      <c r="M38" s="11">
        <v>5</v>
      </c>
      <c r="N38" s="11">
        <v>11</v>
      </c>
      <c r="O38" s="10">
        <v>0.45454545454545453</v>
      </c>
      <c r="P38" s="13">
        <f t="shared" si="77"/>
        <v>0.44545454545454549</v>
      </c>
      <c r="Q38" s="56">
        <f t="shared" si="78"/>
        <v>4.9000000000000004</v>
      </c>
      <c r="R38" s="13">
        <f t="shared" si="51"/>
        <v>0.13363636363636364</v>
      </c>
      <c r="S38" s="56">
        <f t="shared" si="79"/>
        <v>1.47</v>
      </c>
      <c r="T38" s="14">
        <f t="shared" si="80"/>
        <v>0.58818181818181814</v>
      </c>
      <c r="U38" s="15">
        <f t="shared" si="23"/>
        <v>6.47</v>
      </c>
      <c r="V38" s="15">
        <f t="shared" si="24"/>
        <v>11</v>
      </c>
      <c r="X38" s="79" t="s">
        <v>36</v>
      </c>
      <c r="Y38" s="79" t="s">
        <v>33</v>
      </c>
      <c r="Z38" s="67">
        <v>4140</v>
      </c>
      <c r="AA38" s="67">
        <v>4566</v>
      </c>
      <c r="AB38" s="99">
        <v>0.90670170827858076</v>
      </c>
      <c r="AC38" s="9">
        <v>3705</v>
      </c>
      <c r="AD38" s="9">
        <v>6488</v>
      </c>
      <c r="AE38" s="10">
        <f t="shared" si="25"/>
        <v>0.57105425400739829</v>
      </c>
      <c r="AF38" s="13">
        <f t="shared" si="81"/>
        <v>0.22894574599260176</v>
      </c>
      <c r="AG38" s="56">
        <f t="shared" si="72"/>
        <v>1485.4</v>
      </c>
      <c r="AH38" s="13">
        <f t="shared" si="27"/>
        <v>5.7236436498150439E-2</v>
      </c>
      <c r="AI38" s="56">
        <f t="shared" si="28"/>
        <v>371.35</v>
      </c>
      <c r="AJ38" s="14">
        <f t="shared" si="29"/>
        <v>0.62829069050554875</v>
      </c>
      <c r="AK38" s="15">
        <f t="shared" si="30"/>
        <v>4076.3500000000004</v>
      </c>
      <c r="AL38" s="15">
        <f t="shared" si="31"/>
        <v>6488</v>
      </c>
      <c r="AN38" s="79" t="s">
        <v>36</v>
      </c>
      <c r="AO38" s="79" t="s">
        <v>33</v>
      </c>
      <c r="AP38" s="71">
        <v>69</v>
      </c>
      <c r="AQ38" s="71">
        <v>2265</v>
      </c>
      <c r="AR38" s="72">
        <v>3.0463576158940398E-2</v>
      </c>
      <c r="AS38" s="59">
        <v>279</v>
      </c>
      <c r="AT38" s="59">
        <v>2265</v>
      </c>
      <c r="AU38" s="72">
        <v>0.12317880794701987</v>
      </c>
      <c r="AV38" s="11">
        <v>404</v>
      </c>
      <c r="AW38" s="11">
        <v>2265</v>
      </c>
      <c r="AX38" s="17">
        <v>0.17836644591611478</v>
      </c>
      <c r="AY38" s="13">
        <f t="shared" si="73"/>
        <v>0.1716335540838852</v>
      </c>
      <c r="AZ38" s="56">
        <f t="shared" si="82"/>
        <v>388.75</v>
      </c>
      <c r="BA38" s="13">
        <f t="shared" si="32"/>
        <v>8.5816777041942599E-2</v>
      </c>
      <c r="BB38" s="56">
        <f t="shared" si="83"/>
        <v>194.375</v>
      </c>
      <c r="BC38" s="53">
        <f t="shared" si="84"/>
        <v>0.26418322295805741</v>
      </c>
      <c r="BD38" s="15">
        <f t="shared" si="33"/>
        <v>598.375</v>
      </c>
      <c r="BE38" s="15">
        <v>2265</v>
      </c>
      <c r="BG38" s="79" t="s">
        <v>36</v>
      </c>
      <c r="BH38" s="79" t="s">
        <v>33</v>
      </c>
      <c r="BI38" s="67">
        <v>2</v>
      </c>
      <c r="BJ38" s="67">
        <v>283</v>
      </c>
      <c r="BK38" s="82">
        <f t="shared" si="34"/>
        <v>7.0671378091872791E-3</v>
      </c>
      <c r="BL38" s="59">
        <v>10</v>
      </c>
      <c r="BM38" s="83">
        <v>8.5</v>
      </c>
      <c r="BN38" s="84">
        <v>3.5335689045936397E-2</v>
      </c>
      <c r="BO38" s="9">
        <v>10</v>
      </c>
      <c r="BP38" s="9">
        <v>283</v>
      </c>
      <c r="BQ38" s="10">
        <v>3.5335689045936397E-2</v>
      </c>
      <c r="BR38" s="13">
        <f t="shared" si="85"/>
        <v>7.4664310954063604E-2</v>
      </c>
      <c r="BS38" s="56">
        <f t="shared" si="86"/>
        <v>21.13</v>
      </c>
      <c r="BT38" s="13">
        <f t="shared" si="97"/>
        <v>3.7332155477031802E-2</v>
      </c>
      <c r="BU38" s="56">
        <f t="shared" si="87"/>
        <v>10.565</v>
      </c>
      <c r="BV38" s="53">
        <f t="shared" si="88"/>
        <v>7.2667844522968206E-2</v>
      </c>
      <c r="BW38" s="15">
        <f t="shared" si="36"/>
        <v>20.565000000000001</v>
      </c>
      <c r="BX38" s="15">
        <f t="shared" si="37"/>
        <v>283</v>
      </c>
      <c r="BZ38" s="79" t="s">
        <v>36</v>
      </c>
      <c r="CA38" s="79" t="s">
        <v>33</v>
      </c>
      <c r="CB38" s="71">
        <v>672</v>
      </c>
      <c r="CC38" s="96">
        <v>2427.9500000000003</v>
      </c>
      <c r="CD38" s="82">
        <v>0.27677670462736048</v>
      </c>
      <c r="CE38" s="20">
        <v>605</v>
      </c>
      <c r="CF38" s="20">
        <v>2695.1280000000002</v>
      </c>
      <c r="CG38" s="18">
        <v>0.22447913420067617</v>
      </c>
      <c r="CH38" s="13">
        <f t="shared" si="89"/>
        <v>5.552086579932386E-2</v>
      </c>
      <c r="CI38" s="13"/>
      <c r="CJ38" s="13">
        <f t="shared" si="38"/>
        <v>1.6656259739797157E-2</v>
      </c>
      <c r="CK38" s="13"/>
      <c r="CL38" s="14">
        <f t="shared" si="90"/>
        <v>0.24113539394047331</v>
      </c>
      <c r="CM38" s="15">
        <f t="shared" si="39"/>
        <v>649.89075200000002</v>
      </c>
      <c r="CN38" s="15">
        <f t="shared" si="40"/>
        <v>2695.1280000000002</v>
      </c>
      <c r="CP38" s="79" t="s">
        <v>36</v>
      </c>
      <c r="CQ38" s="79" t="s">
        <v>33</v>
      </c>
      <c r="CR38" s="16">
        <v>1317</v>
      </c>
      <c r="CS38" s="16">
        <v>2046</v>
      </c>
      <c r="CT38" s="108">
        <v>0.64369501466275658</v>
      </c>
      <c r="CU38" s="8">
        <v>879</v>
      </c>
      <c r="CV38" s="8">
        <v>1809</v>
      </c>
      <c r="CW38" s="18">
        <v>0.48590381426202323</v>
      </c>
      <c r="CX38" s="13">
        <f t="shared" si="91"/>
        <v>0.4140961857379768</v>
      </c>
      <c r="CY38" s="13">
        <f t="shared" si="41"/>
        <v>0.2070480928689884</v>
      </c>
      <c r="CZ38" s="14">
        <f t="shared" si="92"/>
        <v>0.69295190713101162</v>
      </c>
      <c r="DA38" s="15">
        <f t="shared" si="75"/>
        <v>1253.55</v>
      </c>
      <c r="DB38" s="15">
        <f t="shared" si="43"/>
        <v>1809</v>
      </c>
      <c r="DD38" s="79" t="s">
        <v>36</v>
      </c>
      <c r="DE38" s="79" t="s">
        <v>33</v>
      </c>
      <c r="DF38" s="71">
        <v>2644</v>
      </c>
      <c r="DG38" s="96">
        <v>4613.2309999999998</v>
      </c>
      <c r="DH38" s="82">
        <v>0.57313410059023706</v>
      </c>
      <c r="DI38" s="8">
        <v>2105</v>
      </c>
      <c r="DJ38" s="35">
        <v>6109.0889999999999</v>
      </c>
      <c r="DK38" s="18">
        <v>0.3445685600586274</v>
      </c>
      <c r="DL38" s="13">
        <f t="shared" si="93"/>
        <v>8.5431439941372589E-2</v>
      </c>
      <c r="DM38" s="13">
        <f t="shared" si="44"/>
        <v>2.5629431982411775E-2</v>
      </c>
      <c r="DN38" s="14">
        <f t="shared" si="94"/>
        <v>0.3701979920410392</v>
      </c>
      <c r="DO38" s="15">
        <f t="shared" si="45"/>
        <v>2261.5724810000002</v>
      </c>
      <c r="DP38" s="15">
        <f t="shared" si="46"/>
        <v>6109.0889999999999</v>
      </c>
      <c r="DR38" s="79" t="s">
        <v>36</v>
      </c>
      <c r="DS38" s="79" t="s">
        <v>33</v>
      </c>
      <c r="DT38" s="71">
        <v>61</v>
      </c>
      <c r="DU38" s="71">
        <v>101</v>
      </c>
      <c r="DV38" s="82">
        <v>0.60396039603960394</v>
      </c>
      <c r="DW38" s="71">
        <v>34</v>
      </c>
      <c r="DX38" s="71">
        <v>46</v>
      </c>
      <c r="DY38" s="82">
        <v>0.73913043478260865</v>
      </c>
      <c r="DZ38" s="59">
        <v>55</v>
      </c>
      <c r="EA38" s="59">
        <v>74</v>
      </c>
      <c r="EB38" s="84">
        <v>0.7432432432432432</v>
      </c>
      <c r="EC38" s="9">
        <v>65</v>
      </c>
      <c r="ED38" s="9">
        <v>89</v>
      </c>
      <c r="EE38" s="19">
        <f t="shared" si="47"/>
        <v>0.7303370786516854</v>
      </c>
      <c r="EF38" s="13" t="str">
        <f t="shared" si="95"/>
        <v>-</v>
      </c>
      <c r="EG38" s="13" t="str">
        <f t="shared" si="48"/>
        <v>-</v>
      </c>
      <c r="EH38" s="52">
        <f t="shared" si="96"/>
        <v>0.7303370786516854</v>
      </c>
      <c r="EI38" s="15">
        <f t="shared" si="49"/>
        <v>65</v>
      </c>
      <c r="EJ38" s="15">
        <f t="shared" si="50"/>
        <v>89</v>
      </c>
      <c r="EL38" s="71" t="s">
        <v>36</v>
      </c>
      <c r="EM38" s="71" t="s">
        <v>33</v>
      </c>
      <c r="EN38" s="12">
        <v>0.8</v>
      </c>
      <c r="EO38" s="13">
        <v>0.5</v>
      </c>
      <c r="EP38" s="21">
        <f t="shared" si="98"/>
        <v>0.8</v>
      </c>
    </row>
    <row r="39" spans="2:146" s="16" customFormat="1" ht="15.75" x14ac:dyDescent="0.25">
      <c r="B39" s="79" t="s">
        <v>37</v>
      </c>
      <c r="C39" s="79" t="s">
        <v>33</v>
      </c>
      <c r="D39" s="67">
        <v>0</v>
      </c>
      <c r="E39" s="67">
        <v>5</v>
      </c>
      <c r="F39" s="60">
        <v>0</v>
      </c>
      <c r="G39" s="59">
        <v>0</v>
      </c>
      <c r="H39" s="59">
        <v>3</v>
      </c>
      <c r="I39" s="60">
        <v>0</v>
      </c>
      <c r="J39" s="59">
        <v>0</v>
      </c>
      <c r="K39" s="59">
        <v>7</v>
      </c>
      <c r="L39" s="60">
        <v>0</v>
      </c>
      <c r="M39" s="11">
        <v>0</v>
      </c>
      <c r="N39" s="11">
        <v>8</v>
      </c>
      <c r="O39" s="10">
        <v>0</v>
      </c>
      <c r="P39" s="13">
        <f t="shared" si="77"/>
        <v>0.9</v>
      </c>
      <c r="Q39" s="56">
        <f t="shared" si="78"/>
        <v>7.2</v>
      </c>
      <c r="R39" s="12">
        <f t="shared" si="51"/>
        <v>0.27</v>
      </c>
      <c r="S39" s="56">
        <f t="shared" si="79"/>
        <v>2.16</v>
      </c>
      <c r="T39" s="14">
        <f t="shared" si="80"/>
        <v>0.27</v>
      </c>
      <c r="U39" s="15">
        <f t="shared" si="23"/>
        <v>2.16</v>
      </c>
      <c r="V39" s="15">
        <f t="shared" si="24"/>
        <v>8</v>
      </c>
      <c r="X39" s="79" t="s">
        <v>37</v>
      </c>
      <c r="Y39" s="79" t="s">
        <v>33</v>
      </c>
      <c r="Z39" s="67">
        <v>5434</v>
      </c>
      <c r="AA39" s="67">
        <v>5557</v>
      </c>
      <c r="AB39" s="99">
        <v>0.97786575490372507</v>
      </c>
      <c r="AC39" s="9">
        <v>4739</v>
      </c>
      <c r="AD39" s="9">
        <v>8290</v>
      </c>
      <c r="AE39" s="10">
        <f t="shared" si="25"/>
        <v>0.57165259348612785</v>
      </c>
      <c r="AF39" s="13">
        <f t="shared" si="81"/>
        <v>0.2283474065138722</v>
      </c>
      <c r="AG39" s="56">
        <f t="shared" si="72"/>
        <v>1893.0000000000005</v>
      </c>
      <c r="AH39" s="13">
        <f t="shared" si="27"/>
        <v>5.7086851628468049E-2</v>
      </c>
      <c r="AI39" s="56">
        <f t="shared" si="28"/>
        <v>473.25000000000011</v>
      </c>
      <c r="AJ39" s="14">
        <f t="shared" si="29"/>
        <v>0.6287394451145959</v>
      </c>
      <c r="AK39" s="15">
        <f t="shared" si="30"/>
        <v>5212.25</v>
      </c>
      <c r="AL39" s="15">
        <f t="shared" si="31"/>
        <v>8290</v>
      </c>
      <c r="AN39" s="79" t="s">
        <v>37</v>
      </c>
      <c r="AO39" s="79" t="s">
        <v>33</v>
      </c>
      <c r="AP39" s="71">
        <v>354</v>
      </c>
      <c r="AQ39" s="71">
        <v>2330</v>
      </c>
      <c r="AR39" s="72">
        <v>0.151931330472103</v>
      </c>
      <c r="AS39" s="59">
        <v>535</v>
      </c>
      <c r="AT39" s="59">
        <v>2330</v>
      </c>
      <c r="AU39" s="72">
        <v>0.2296137339055794</v>
      </c>
      <c r="AV39" s="11">
        <v>625</v>
      </c>
      <c r="AW39" s="11">
        <v>2330</v>
      </c>
      <c r="AX39" s="17">
        <v>0.26824034334763946</v>
      </c>
      <c r="AY39" s="13">
        <f t="shared" si="73"/>
        <v>8.1759656652360513E-2</v>
      </c>
      <c r="AZ39" s="56">
        <f t="shared" si="82"/>
        <v>190.5</v>
      </c>
      <c r="BA39" s="13">
        <f t="shared" si="32"/>
        <v>4.0879828326180256E-2</v>
      </c>
      <c r="BB39" s="56">
        <f t="shared" si="83"/>
        <v>95.25</v>
      </c>
      <c r="BC39" s="53">
        <f t="shared" si="84"/>
        <v>0.30912017167381972</v>
      </c>
      <c r="BD39" s="15">
        <f t="shared" si="33"/>
        <v>720.25</v>
      </c>
      <c r="BE39" s="15">
        <v>2330</v>
      </c>
      <c r="BG39" s="79" t="s">
        <v>37</v>
      </c>
      <c r="BH39" s="79" t="s">
        <v>33</v>
      </c>
      <c r="BI39" s="67">
        <v>17</v>
      </c>
      <c r="BJ39" s="67">
        <v>349</v>
      </c>
      <c r="BK39" s="82">
        <f t="shared" si="34"/>
        <v>4.8710601719197708E-2</v>
      </c>
      <c r="BL39" s="59">
        <v>24</v>
      </c>
      <c r="BM39" s="83">
        <v>9</v>
      </c>
      <c r="BN39" s="84">
        <v>6.8767908309455589E-2</v>
      </c>
      <c r="BO39" s="9">
        <v>27</v>
      </c>
      <c r="BP39" s="9">
        <v>349</v>
      </c>
      <c r="BQ39" s="10">
        <v>7.7363896848137534E-2</v>
      </c>
      <c r="BR39" s="13">
        <f t="shared" si="85"/>
        <v>3.2636103151862467E-2</v>
      </c>
      <c r="BS39" s="56">
        <f t="shared" si="86"/>
        <v>11.39</v>
      </c>
      <c r="BT39" s="13">
        <f t="shared" si="97"/>
        <v>1.6318051575931233E-2</v>
      </c>
      <c r="BU39" s="56">
        <f t="shared" si="87"/>
        <v>5.6950000000000003</v>
      </c>
      <c r="BV39" s="53">
        <f t="shared" si="88"/>
        <v>9.3681948424068767E-2</v>
      </c>
      <c r="BW39" s="15">
        <f t="shared" si="36"/>
        <v>32.695</v>
      </c>
      <c r="BX39" s="15">
        <f t="shared" si="37"/>
        <v>349</v>
      </c>
      <c r="BZ39" s="79" t="s">
        <v>37</v>
      </c>
      <c r="CA39" s="79" t="s">
        <v>33</v>
      </c>
      <c r="CB39" s="71">
        <v>1112</v>
      </c>
      <c r="CC39" s="96">
        <v>2992.05</v>
      </c>
      <c r="CD39" s="82">
        <v>0.37165154325629585</v>
      </c>
      <c r="CE39" s="20">
        <v>1006</v>
      </c>
      <c r="CF39" s="20">
        <v>3329.8919999999998</v>
      </c>
      <c r="CG39" s="18">
        <v>0.30211190032589647</v>
      </c>
      <c r="CH39" s="13" t="str">
        <f t="shared" si="89"/>
        <v>-</v>
      </c>
      <c r="CI39" s="13"/>
      <c r="CJ39" s="13" t="str">
        <f t="shared" si="38"/>
        <v>-</v>
      </c>
      <c r="CK39" s="13"/>
      <c r="CL39" s="52">
        <f t="shared" si="90"/>
        <v>0.30211190032589647</v>
      </c>
      <c r="CM39" s="15">
        <f t="shared" si="39"/>
        <v>1006</v>
      </c>
      <c r="CN39" s="15">
        <f t="shared" si="40"/>
        <v>3329.8919999999998</v>
      </c>
      <c r="CP39" s="79" t="s">
        <v>37</v>
      </c>
      <c r="CQ39" s="79" t="s">
        <v>33</v>
      </c>
      <c r="CR39" s="16">
        <v>2283</v>
      </c>
      <c r="CS39" s="16">
        <v>2580</v>
      </c>
      <c r="CT39" s="108">
        <v>0.8848837209302326</v>
      </c>
      <c r="CU39" s="8">
        <v>1768</v>
      </c>
      <c r="CV39" s="8">
        <v>2441</v>
      </c>
      <c r="CW39" s="18">
        <v>0.72429332240884881</v>
      </c>
      <c r="CX39" s="13">
        <f t="shared" si="91"/>
        <v>0.17570667759115122</v>
      </c>
      <c r="CY39" s="13">
        <f t="shared" si="41"/>
        <v>8.7853338795575608E-2</v>
      </c>
      <c r="CZ39" s="14">
        <f t="shared" si="92"/>
        <v>0.81214666120442436</v>
      </c>
      <c r="DA39" s="15">
        <f t="shared" si="75"/>
        <v>1982.4499999999998</v>
      </c>
      <c r="DB39" s="15">
        <f t="shared" si="43"/>
        <v>2441</v>
      </c>
      <c r="DD39" s="79" t="s">
        <v>37</v>
      </c>
      <c r="DE39" s="79" t="s">
        <v>33</v>
      </c>
      <c r="DF39" s="71">
        <v>3587</v>
      </c>
      <c r="DG39" s="96">
        <v>5820.5099999999993</v>
      </c>
      <c r="DH39" s="82">
        <v>0.61626902109952575</v>
      </c>
      <c r="DI39" s="8">
        <v>3292</v>
      </c>
      <c r="DJ39" s="35">
        <v>7586.2240000000002</v>
      </c>
      <c r="DK39" s="18">
        <v>0.43394447619790821</v>
      </c>
      <c r="DL39" s="13" t="str">
        <f t="shared" si="93"/>
        <v>-</v>
      </c>
      <c r="DM39" s="13" t="str">
        <f t="shared" si="44"/>
        <v>-</v>
      </c>
      <c r="DN39" s="52">
        <f t="shared" si="94"/>
        <v>0.43394447619790821</v>
      </c>
      <c r="DO39" s="15">
        <f t="shared" si="45"/>
        <v>3292</v>
      </c>
      <c r="DP39" s="15">
        <f t="shared" si="46"/>
        <v>7586.2240000000002</v>
      </c>
      <c r="DR39" s="79" t="s">
        <v>37</v>
      </c>
      <c r="DS39" s="79" t="s">
        <v>33</v>
      </c>
      <c r="DT39" s="71">
        <v>54</v>
      </c>
      <c r="DU39" s="71">
        <v>91</v>
      </c>
      <c r="DV39" s="82">
        <v>0.59340659340659341</v>
      </c>
      <c r="DW39" s="71">
        <v>70</v>
      </c>
      <c r="DX39" s="71">
        <v>112</v>
      </c>
      <c r="DY39" s="82">
        <v>0.625</v>
      </c>
      <c r="DZ39" s="59">
        <v>82</v>
      </c>
      <c r="EA39" s="59">
        <v>137</v>
      </c>
      <c r="EB39" s="84">
        <v>0.59854014598540151</v>
      </c>
      <c r="EC39" s="9">
        <v>90</v>
      </c>
      <c r="ED39" s="9">
        <v>150</v>
      </c>
      <c r="EE39" s="19">
        <f t="shared" si="47"/>
        <v>0.6</v>
      </c>
      <c r="EF39" s="13" t="str">
        <f t="shared" si="95"/>
        <v>-</v>
      </c>
      <c r="EG39" s="13" t="str">
        <f t="shared" si="48"/>
        <v>-</v>
      </c>
      <c r="EH39" s="52">
        <f t="shared" si="96"/>
        <v>0.6</v>
      </c>
      <c r="EI39" s="15">
        <f t="shared" si="49"/>
        <v>90</v>
      </c>
      <c r="EJ39" s="15">
        <f t="shared" si="50"/>
        <v>150</v>
      </c>
      <c r="EL39" s="71" t="s">
        <v>37</v>
      </c>
      <c r="EM39" s="71" t="s">
        <v>33</v>
      </c>
      <c r="EN39" s="12">
        <v>0.8</v>
      </c>
      <c r="EO39" s="13">
        <v>0.16666666666666666</v>
      </c>
      <c r="EP39" s="21">
        <f t="shared" si="98"/>
        <v>0.8</v>
      </c>
    </row>
    <row r="40" spans="2:146" s="16" customFormat="1" ht="15.75" x14ac:dyDescent="0.25">
      <c r="B40" s="79" t="s">
        <v>38</v>
      </c>
      <c r="C40" s="79" t="s">
        <v>33</v>
      </c>
      <c r="D40" s="67">
        <v>0</v>
      </c>
      <c r="E40" s="67">
        <v>1</v>
      </c>
      <c r="F40" s="60">
        <v>0</v>
      </c>
      <c r="G40" s="59">
        <v>1</v>
      </c>
      <c r="H40" s="59">
        <v>3</v>
      </c>
      <c r="I40" s="60">
        <v>0.33333333333333331</v>
      </c>
      <c r="J40" s="59">
        <v>1</v>
      </c>
      <c r="K40" s="59">
        <v>4</v>
      </c>
      <c r="L40" s="60">
        <v>0.25</v>
      </c>
      <c r="M40" s="11">
        <v>2</v>
      </c>
      <c r="N40" s="11">
        <v>4</v>
      </c>
      <c r="O40" s="10">
        <v>0.5</v>
      </c>
      <c r="P40" s="13">
        <f t="shared" si="77"/>
        <v>0.4</v>
      </c>
      <c r="Q40" s="56">
        <f t="shared" si="78"/>
        <v>1.6</v>
      </c>
      <c r="R40" s="12">
        <f t="shared" si="51"/>
        <v>0.12</v>
      </c>
      <c r="S40" s="56">
        <f t="shared" si="79"/>
        <v>0.48</v>
      </c>
      <c r="T40" s="14">
        <f t="shared" si="80"/>
        <v>0.62</v>
      </c>
      <c r="U40" s="15">
        <f t="shared" si="23"/>
        <v>2.48</v>
      </c>
      <c r="V40" s="15">
        <f t="shared" si="24"/>
        <v>4</v>
      </c>
      <c r="X40" s="79" t="s">
        <v>38</v>
      </c>
      <c r="Y40" s="79" t="s">
        <v>33</v>
      </c>
      <c r="Z40" s="67">
        <v>645</v>
      </c>
      <c r="AA40" s="67">
        <v>798</v>
      </c>
      <c r="AB40" s="99">
        <v>0.80827067669172936</v>
      </c>
      <c r="AC40" s="9">
        <v>653</v>
      </c>
      <c r="AD40" s="9">
        <v>1329</v>
      </c>
      <c r="AE40" s="10">
        <f t="shared" si="25"/>
        <v>0.49134687735139204</v>
      </c>
      <c r="AF40" s="13">
        <f t="shared" si="81"/>
        <v>0.308653122648608</v>
      </c>
      <c r="AG40" s="56">
        <f t="shared" si="72"/>
        <v>410.20000000000005</v>
      </c>
      <c r="AH40" s="13">
        <f t="shared" si="27"/>
        <v>7.7163280662152001E-2</v>
      </c>
      <c r="AI40" s="56">
        <f t="shared" si="28"/>
        <v>102.55000000000001</v>
      </c>
      <c r="AJ40" s="14">
        <f t="shared" si="29"/>
        <v>0.5685101580135441</v>
      </c>
      <c r="AK40" s="15">
        <f t="shared" si="30"/>
        <v>755.55000000000007</v>
      </c>
      <c r="AL40" s="15">
        <f t="shared" si="31"/>
        <v>1329</v>
      </c>
      <c r="AN40" s="79" t="s">
        <v>38</v>
      </c>
      <c r="AO40" s="79" t="s">
        <v>33</v>
      </c>
      <c r="AP40" s="71">
        <v>80</v>
      </c>
      <c r="AQ40" s="71">
        <v>433</v>
      </c>
      <c r="AR40" s="72">
        <v>0.18475750577367206</v>
      </c>
      <c r="AS40" s="59">
        <v>121</v>
      </c>
      <c r="AT40" s="59">
        <v>433</v>
      </c>
      <c r="AU40" s="72">
        <v>0.27944572748267898</v>
      </c>
      <c r="AV40" s="11">
        <v>129</v>
      </c>
      <c r="AW40" s="11">
        <v>433</v>
      </c>
      <c r="AX40" s="17">
        <v>0.29792147806004621</v>
      </c>
      <c r="AY40" s="13">
        <f t="shared" si="73"/>
        <v>5.207852193995377E-2</v>
      </c>
      <c r="AZ40" s="56">
        <f t="shared" si="82"/>
        <v>22.549999999999983</v>
      </c>
      <c r="BA40" s="13">
        <f t="shared" si="32"/>
        <v>2.6039260969976885E-2</v>
      </c>
      <c r="BB40" s="56">
        <f t="shared" si="83"/>
        <v>11.274999999999991</v>
      </c>
      <c r="BC40" s="53">
        <f t="shared" si="84"/>
        <v>0.32396073903002309</v>
      </c>
      <c r="BD40" s="15">
        <f t="shared" si="33"/>
        <v>140.27500000000001</v>
      </c>
      <c r="BE40" s="15">
        <v>433</v>
      </c>
      <c r="BG40" s="79" t="s">
        <v>38</v>
      </c>
      <c r="BH40" s="79" t="s">
        <v>33</v>
      </c>
      <c r="BI40" s="67">
        <v>5</v>
      </c>
      <c r="BJ40" s="67">
        <v>61</v>
      </c>
      <c r="BK40" s="82">
        <f t="shared" si="34"/>
        <v>8.1967213114754092E-2</v>
      </c>
      <c r="BL40" s="59">
        <v>6</v>
      </c>
      <c r="BM40" s="83">
        <v>53.75</v>
      </c>
      <c r="BN40" s="84">
        <v>9.8360655737704916E-2</v>
      </c>
      <c r="BO40" s="9">
        <v>6</v>
      </c>
      <c r="BP40" s="9">
        <v>61</v>
      </c>
      <c r="BQ40" s="10">
        <v>9.8360655737704916E-2</v>
      </c>
      <c r="BR40" s="13">
        <f t="shared" si="85"/>
        <v>1.1639344262295084E-2</v>
      </c>
      <c r="BS40" s="56">
        <f t="shared" si="86"/>
        <v>0.71000000000000019</v>
      </c>
      <c r="BT40" s="13">
        <f t="shared" si="97"/>
        <v>5.8196721311475422E-3</v>
      </c>
      <c r="BU40" s="56">
        <f t="shared" si="87"/>
        <v>0.35500000000000009</v>
      </c>
      <c r="BV40" s="53">
        <f t="shared" si="88"/>
        <v>0.10418032786885245</v>
      </c>
      <c r="BW40" s="15">
        <f t="shared" si="36"/>
        <v>6.3549999999999995</v>
      </c>
      <c r="BX40" s="15">
        <f t="shared" si="37"/>
        <v>61</v>
      </c>
      <c r="BZ40" s="79" t="s">
        <v>38</v>
      </c>
      <c r="CA40" s="79" t="s">
        <v>33</v>
      </c>
      <c r="CB40" s="71">
        <v>119</v>
      </c>
      <c r="CC40" s="96">
        <v>500.25</v>
      </c>
      <c r="CD40" s="82">
        <v>0.23788105947026486</v>
      </c>
      <c r="CE40" s="20">
        <v>131</v>
      </c>
      <c r="CF40" s="20">
        <v>574.82099999999991</v>
      </c>
      <c r="CG40" s="18">
        <v>0.22789703229353142</v>
      </c>
      <c r="CH40" s="13">
        <f t="shared" si="89"/>
        <v>5.2102967706468606E-2</v>
      </c>
      <c r="CI40" s="13"/>
      <c r="CJ40" s="13">
        <f t="shared" si="38"/>
        <v>1.5630890311940582E-2</v>
      </c>
      <c r="CK40" s="13"/>
      <c r="CL40" s="14">
        <f t="shared" si="90"/>
        <v>0.24352792260547201</v>
      </c>
      <c r="CM40" s="15">
        <f t="shared" si="39"/>
        <v>139.98496400000002</v>
      </c>
      <c r="CN40" s="15">
        <f t="shared" si="40"/>
        <v>574.82099999999991</v>
      </c>
      <c r="CP40" s="79" t="s">
        <v>38</v>
      </c>
      <c r="CQ40" s="79" t="s">
        <v>33</v>
      </c>
      <c r="CR40" s="16">
        <v>188</v>
      </c>
      <c r="CS40" s="16">
        <v>378</v>
      </c>
      <c r="CT40" s="108">
        <v>0.49735449735449733</v>
      </c>
      <c r="CU40" s="8">
        <v>231</v>
      </c>
      <c r="CV40" s="8">
        <v>342</v>
      </c>
      <c r="CW40" s="18">
        <v>0.67543859649122806</v>
      </c>
      <c r="CX40" s="13">
        <f t="shared" si="91"/>
        <v>0.22456140350877196</v>
      </c>
      <c r="CY40" s="13">
        <f t="shared" si="41"/>
        <v>0.11228070175438598</v>
      </c>
      <c r="CZ40" s="14">
        <f t="shared" si="92"/>
        <v>0.78771929824561404</v>
      </c>
      <c r="DA40" s="15">
        <f t="shared" si="75"/>
        <v>269.39999999999998</v>
      </c>
      <c r="DB40" s="15">
        <f t="shared" si="43"/>
        <v>342</v>
      </c>
      <c r="DD40" s="79" t="s">
        <v>38</v>
      </c>
      <c r="DE40" s="79" t="s">
        <v>33</v>
      </c>
      <c r="DF40" s="71">
        <v>532</v>
      </c>
      <c r="DG40" s="96">
        <v>972.0150000000001</v>
      </c>
      <c r="DH40" s="82">
        <v>0.54731665663595719</v>
      </c>
      <c r="DI40" s="8">
        <v>551</v>
      </c>
      <c r="DJ40" s="35">
        <v>1306.578</v>
      </c>
      <c r="DK40" s="18">
        <v>0.42171228966047186</v>
      </c>
      <c r="DL40" s="13">
        <f t="shared" si="93"/>
        <v>8.2877103395281315E-3</v>
      </c>
      <c r="DM40" s="13">
        <f t="shared" si="44"/>
        <v>2.4863131018584392E-3</v>
      </c>
      <c r="DN40" s="14">
        <f t="shared" si="94"/>
        <v>0.42419860276233029</v>
      </c>
      <c r="DO40" s="15">
        <f t="shared" si="45"/>
        <v>554.24856199999999</v>
      </c>
      <c r="DP40" s="15">
        <f t="shared" si="46"/>
        <v>1306.578</v>
      </c>
      <c r="DR40" s="79" t="s">
        <v>38</v>
      </c>
      <c r="DS40" s="79" t="s">
        <v>33</v>
      </c>
      <c r="DT40" s="71">
        <v>17</v>
      </c>
      <c r="DU40" s="71">
        <v>21</v>
      </c>
      <c r="DV40" s="82">
        <v>0.80952380952380953</v>
      </c>
      <c r="DW40" s="71">
        <v>19</v>
      </c>
      <c r="DX40" s="71">
        <v>22</v>
      </c>
      <c r="DY40" s="82">
        <v>0.86363636363636365</v>
      </c>
      <c r="DZ40" s="59">
        <v>20</v>
      </c>
      <c r="EA40" s="59">
        <v>23</v>
      </c>
      <c r="EB40" s="84">
        <v>0.86956521739130432</v>
      </c>
      <c r="EC40" s="9">
        <v>24</v>
      </c>
      <c r="ED40" s="9">
        <v>27</v>
      </c>
      <c r="EE40" s="19">
        <f t="shared" si="47"/>
        <v>0.88888888888888884</v>
      </c>
      <c r="EF40" s="13" t="str">
        <f t="shared" si="95"/>
        <v>-</v>
      </c>
      <c r="EG40" s="13" t="str">
        <f t="shared" si="48"/>
        <v>-</v>
      </c>
      <c r="EH40" s="52">
        <f t="shared" si="96"/>
        <v>0.88888888888888884</v>
      </c>
      <c r="EI40" s="15">
        <f t="shared" si="49"/>
        <v>24</v>
      </c>
      <c r="EJ40" s="15">
        <f t="shared" si="50"/>
        <v>27</v>
      </c>
      <c r="EL40" s="71" t="s">
        <v>38</v>
      </c>
      <c r="EM40" s="71" t="s">
        <v>33</v>
      </c>
      <c r="EN40" s="12">
        <v>0.8</v>
      </c>
      <c r="EO40" s="13">
        <v>0.16666666666666666</v>
      </c>
      <c r="EP40" s="21">
        <f t="shared" si="98"/>
        <v>0.8</v>
      </c>
    </row>
    <row r="41" spans="2:146" s="16" customFormat="1" ht="15.75" x14ac:dyDescent="0.25">
      <c r="B41" s="79" t="s">
        <v>39</v>
      </c>
      <c r="C41" s="79" t="s">
        <v>33</v>
      </c>
      <c r="D41" s="67">
        <v>0</v>
      </c>
      <c r="E41" s="67">
        <v>9</v>
      </c>
      <c r="F41" s="60">
        <v>0</v>
      </c>
      <c r="G41" s="59">
        <v>0</v>
      </c>
      <c r="H41" s="59">
        <v>3</v>
      </c>
      <c r="I41" s="60">
        <v>0</v>
      </c>
      <c r="J41" s="59">
        <v>3</v>
      </c>
      <c r="K41" s="59">
        <v>6</v>
      </c>
      <c r="L41" s="60">
        <v>0.5</v>
      </c>
      <c r="M41" s="11">
        <v>3</v>
      </c>
      <c r="N41" s="11">
        <v>6</v>
      </c>
      <c r="O41" s="10">
        <v>0.5</v>
      </c>
      <c r="P41" s="13">
        <f t="shared" si="77"/>
        <v>0.4</v>
      </c>
      <c r="Q41" s="56">
        <f t="shared" si="78"/>
        <v>2.4000000000000004</v>
      </c>
      <c r="R41" s="12">
        <f t="shared" si="51"/>
        <v>0.12</v>
      </c>
      <c r="S41" s="56">
        <f t="shared" si="79"/>
        <v>0.72</v>
      </c>
      <c r="T41" s="14">
        <f t="shared" si="80"/>
        <v>0.62</v>
      </c>
      <c r="U41" s="15">
        <f t="shared" si="23"/>
        <v>3.7199999999999998</v>
      </c>
      <c r="V41" s="15">
        <f t="shared" si="24"/>
        <v>6</v>
      </c>
      <c r="X41" s="79" t="s">
        <v>39</v>
      </c>
      <c r="Y41" s="79" t="s">
        <v>33</v>
      </c>
      <c r="Z41" s="67">
        <v>2023</v>
      </c>
      <c r="AA41" s="67">
        <v>2123</v>
      </c>
      <c r="AB41" s="99">
        <v>0.95289684408855391</v>
      </c>
      <c r="AC41" s="9">
        <v>2023</v>
      </c>
      <c r="AD41" s="9">
        <v>3099</v>
      </c>
      <c r="AE41" s="10">
        <f t="shared" si="25"/>
        <v>0.65279122297515324</v>
      </c>
      <c r="AF41" s="13">
        <f t="shared" si="81"/>
        <v>0.1472087770248468</v>
      </c>
      <c r="AG41" s="56">
        <f t="shared" si="72"/>
        <v>456.20000000000027</v>
      </c>
      <c r="AH41" s="13">
        <f t="shared" si="27"/>
        <v>3.6802194256211701E-2</v>
      </c>
      <c r="AI41" s="56">
        <f t="shared" si="28"/>
        <v>114.05000000000007</v>
      </c>
      <c r="AJ41" s="14">
        <f t="shared" si="29"/>
        <v>0.68959341723136491</v>
      </c>
      <c r="AK41" s="15">
        <f t="shared" si="30"/>
        <v>2137.0499999999997</v>
      </c>
      <c r="AL41" s="15">
        <f t="shared" si="31"/>
        <v>3099</v>
      </c>
      <c r="AN41" s="79" t="s">
        <v>39</v>
      </c>
      <c r="AO41" s="79" t="s">
        <v>33</v>
      </c>
      <c r="AP41" s="71">
        <v>39</v>
      </c>
      <c r="AQ41" s="71">
        <v>1048</v>
      </c>
      <c r="AR41" s="72">
        <v>3.7213740458015267E-2</v>
      </c>
      <c r="AS41" s="59">
        <v>117</v>
      </c>
      <c r="AT41" s="59">
        <v>1048</v>
      </c>
      <c r="AU41" s="72">
        <v>0.11164122137404581</v>
      </c>
      <c r="AV41" s="11">
        <v>148</v>
      </c>
      <c r="AW41" s="11">
        <v>1048</v>
      </c>
      <c r="AX41" s="17">
        <v>0.14122137404580154</v>
      </c>
      <c r="AY41" s="13">
        <f t="shared" si="73"/>
        <v>0.20877862595419844</v>
      </c>
      <c r="AZ41" s="56">
        <f t="shared" si="82"/>
        <v>218.79999999999995</v>
      </c>
      <c r="BA41" s="13">
        <f t="shared" si="32"/>
        <v>0.10438931297709922</v>
      </c>
      <c r="BB41" s="56">
        <f t="shared" si="83"/>
        <v>109.39999999999998</v>
      </c>
      <c r="BC41" s="53">
        <f t="shared" si="84"/>
        <v>0.24561068702290076</v>
      </c>
      <c r="BD41" s="15">
        <f t="shared" si="33"/>
        <v>257.39999999999998</v>
      </c>
      <c r="BE41" s="15">
        <v>1048</v>
      </c>
      <c r="BG41" s="79" t="s">
        <v>39</v>
      </c>
      <c r="BH41" s="79" t="s">
        <v>33</v>
      </c>
      <c r="BI41" s="67">
        <v>5</v>
      </c>
      <c r="BJ41" s="67">
        <v>130</v>
      </c>
      <c r="BK41" s="82">
        <f t="shared" si="34"/>
        <v>3.8461538461538464E-2</v>
      </c>
      <c r="BL41" s="59">
        <v>7</v>
      </c>
      <c r="BM41" s="83">
        <v>70.5</v>
      </c>
      <c r="BN41" s="84">
        <v>5.3846153846153849E-2</v>
      </c>
      <c r="BO41" s="9">
        <v>10</v>
      </c>
      <c r="BP41" s="9">
        <v>130</v>
      </c>
      <c r="BQ41" s="10">
        <v>7.6923076923076927E-2</v>
      </c>
      <c r="BR41" s="13">
        <f t="shared" si="85"/>
        <v>3.3076923076923073E-2</v>
      </c>
      <c r="BS41" s="56">
        <f t="shared" si="86"/>
        <v>4.3</v>
      </c>
      <c r="BT41" s="13">
        <f t="shared" si="97"/>
        <v>1.6538461538461537E-2</v>
      </c>
      <c r="BU41" s="56">
        <f t="shared" si="87"/>
        <v>2.15</v>
      </c>
      <c r="BV41" s="53">
        <f t="shared" si="88"/>
        <v>9.3461538461538457E-2</v>
      </c>
      <c r="BW41" s="15">
        <f t="shared" si="36"/>
        <v>12.149999999999999</v>
      </c>
      <c r="BX41" s="15">
        <f t="shared" si="37"/>
        <v>130</v>
      </c>
      <c r="BZ41" s="79" t="s">
        <v>39</v>
      </c>
      <c r="CA41" s="79" t="s">
        <v>33</v>
      </c>
      <c r="CB41" s="71">
        <v>411</v>
      </c>
      <c r="CC41" s="96">
        <v>1113.45</v>
      </c>
      <c r="CD41" s="82">
        <v>0.36912299609322374</v>
      </c>
      <c r="CE41" s="20">
        <v>447</v>
      </c>
      <c r="CF41" s="20">
        <v>1288.5540000000001</v>
      </c>
      <c r="CG41" s="18">
        <v>0.34690047914173561</v>
      </c>
      <c r="CH41" s="13" t="str">
        <f t="shared" si="89"/>
        <v>-</v>
      </c>
      <c r="CI41" s="13"/>
      <c r="CJ41" s="13" t="str">
        <f t="shared" si="38"/>
        <v>-</v>
      </c>
      <c r="CK41" s="13"/>
      <c r="CL41" s="52">
        <f t="shared" si="90"/>
        <v>0.34690047914173561</v>
      </c>
      <c r="CM41" s="15">
        <f t="shared" si="39"/>
        <v>447</v>
      </c>
      <c r="CN41" s="15">
        <f t="shared" si="40"/>
        <v>1288.5540000000001</v>
      </c>
      <c r="CP41" s="79" t="s">
        <v>39</v>
      </c>
      <c r="CQ41" s="79" t="s">
        <v>33</v>
      </c>
      <c r="CR41" s="16">
        <v>971</v>
      </c>
      <c r="CS41" s="16">
        <v>1103</v>
      </c>
      <c r="CT41" s="108">
        <v>0.88032638259292839</v>
      </c>
      <c r="CU41" s="8">
        <v>784</v>
      </c>
      <c r="CV41" s="8">
        <v>1072</v>
      </c>
      <c r="CW41" s="18">
        <v>0.73134328358208955</v>
      </c>
      <c r="CX41" s="13">
        <f t="shared" si="91"/>
        <v>0.16865671641791047</v>
      </c>
      <c r="CY41" s="13">
        <f t="shared" si="41"/>
        <v>8.4328358208955234E-2</v>
      </c>
      <c r="CZ41" s="14">
        <f t="shared" si="92"/>
        <v>0.81567164179104479</v>
      </c>
      <c r="DA41" s="15">
        <f t="shared" si="75"/>
        <v>874.4</v>
      </c>
      <c r="DB41" s="15">
        <f t="shared" si="43"/>
        <v>1072</v>
      </c>
      <c r="DD41" s="79" t="s">
        <v>39</v>
      </c>
      <c r="DE41" s="79" t="s">
        <v>33</v>
      </c>
      <c r="DF41" s="71">
        <v>1671</v>
      </c>
      <c r="DG41" s="96">
        <v>2124.6179999999999</v>
      </c>
      <c r="DH41" s="82">
        <v>0.78649432509749995</v>
      </c>
      <c r="DI41" s="8">
        <v>1157</v>
      </c>
      <c r="DJ41" s="35">
        <v>2928.0709999999999</v>
      </c>
      <c r="DK41" s="18">
        <v>0.39514069160208204</v>
      </c>
      <c r="DL41" s="13">
        <f t="shared" si="93"/>
        <v>3.4859308397917954E-2</v>
      </c>
      <c r="DM41" s="13">
        <f t="shared" si="44"/>
        <v>1.0457792519375385E-2</v>
      </c>
      <c r="DN41" s="14">
        <f t="shared" si="94"/>
        <v>0.40559848412145744</v>
      </c>
      <c r="DO41" s="15">
        <f t="shared" si="45"/>
        <v>1187.621159</v>
      </c>
      <c r="DP41" s="15">
        <f t="shared" si="46"/>
        <v>2928.0709999999999</v>
      </c>
      <c r="DR41" s="79" t="s">
        <v>39</v>
      </c>
      <c r="DS41" s="79" t="s">
        <v>33</v>
      </c>
      <c r="DT41" s="71">
        <v>83</v>
      </c>
      <c r="DU41" s="71">
        <v>117</v>
      </c>
      <c r="DV41" s="82">
        <v>0.70940170940170943</v>
      </c>
      <c r="DW41" s="71">
        <v>23</v>
      </c>
      <c r="DX41" s="71">
        <v>39</v>
      </c>
      <c r="DY41" s="82">
        <v>0.58974358974358976</v>
      </c>
      <c r="DZ41" s="59">
        <v>34</v>
      </c>
      <c r="EA41" s="59">
        <v>52</v>
      </c>
      <c r="EB41" s="84">
        <v>0.65384615384615385</v>
      </c>
      <c r="EC41" s="9">
        <v>38</v>
      </c>
      <c r="ED41" s="9">
        <v>61</v>
      </c>
      <c r="EE41" s="19">
        <f t="shared" si="47"/>
        <v>0.62295081967213117</v>
      </c>
      <c r="EF41" s="13" t="str">
        <f t="shared" si="95"/>
        <v>-</v>
      </c>
      <c r="EG41" s="13" t="str">
        <f t="shared" si="48"/>
        <v>-</v>
      </c>
      <c r="EH41" s="52">
        <f t="shared" si="96"/>
        <v>0.62295081967213117</v>
      </c>
      <c r="EI41" s="15">
        <f t="shared" si="49"/>
        <v>38</v>
      </c>
      <c r="EJ41" s="15">
        <f t="shared" si="50"/>
        <v>61</v>
      </c>
      <c r="EL41" s="71" t="s">
        <v>39</v>
      </c>
      <c r="EM41" s="71" t="s">
        <v>33</v>
      </c>
      <c r="EN41" s="12">
        <v>0.8</v>
      </c>
      <c r="EO41" s="13">
        <v>0.2</v>
      </c>
      <c r="EP41" s="21">
        <f t="shared" si="98"/>
        <v>0.8</v>
      </c>
    </row>
    <row r="42" spans="2:146" s="16" customFormat="1" ht="15.75" x14ac:dyDescent="0.25">
      <c r="B42" s="22"/>
      <c r="C42" s="23"/>
      <c r="D42" s="68"/>
      <c r="E42" s="68"/>
      <c r="F42" s="62"/>
      <c r="G42" s="61"/>
      <c r="H42" s="61"/>
      <c r="I42" s="62"/>
      <c r="J42" s="61"/>
      <c r="K42" s="61"/>
      <c r="L42" s="62"/>
      <c r="M42" s="61"/>
      <c r="N42" s="61"/>
      <c r="O42" s="62"/>
      <c r="P42" s="63"/>
      <c r="Q42" s="63"/>
      <c r="R42" s="63"/>
      <c r="S42" s="63"/>
      <c r="T42" s="28"/>
      <c r="U42" s="28"/>
      <c r="V42" s="29"/>
      <c r="X42" s="22"/>
      <c r="Y42" s="23"/>
      <c r="Z42" s="24"/>
      <c r="AA42" s="24"/>
      <c r="AB42" s="30"/>
      <c r="AC42" s="24"/>
      <c r="AD42" s="24"/>
      <c r="AE42" s="25"/>
      <c r="AF42" s="27"/>
      <c r="AG42" s="27"/>
      <c r="AH42" s="28"/>
      <c r="AI42" s="28"/>
      <c r="AJ42" s="28"/>
      <c r="AK42" s="31"/>
      <c r="AL42" s="31"/>
      <c r="AN42" s="22"/>
      <c r="AO42" s="90"/>
      <c r="AP42" s="73"/>
      <c r="AQ42" s="73"/>
      <c r="AR42" s="74"/>
      <c r="AS42" s="61"/>
      <c r="AT42" s="61"/>
      <c r="AU42" s="74"/>
      <c r="AV42" s="26"/>
      <c r="AW42" s="26"/>
      <c r="AX42" s="32"/>
      <c r="AY42" s="28"/>
      <c r="AZ42" s="28"/>
      <c r="BA42" s="28"/>
      <c r="BB42" s="28"/>
      <c r="BC42" s="28"/>
      <c r="BD42" s="31"/>
      <c r="BE42" s="31"/>
      <c r="BG42" s="22"/>
      <c r="BH42" s="90"/>
      <c r="BI42" s="68"/>
      <c r="BJ42" s="68"/>
      <c r="BK42" s="85"/>
      <c r="BL42" s="61"/>
      <c r="BM42" s="86"/>
      <c r="BN42" s="87"/>
      <c r="BO42" s="24"/>
      <c r="BP42" s="24"/>
      <c r="BQ42" s="25"/>
      <c r="BR42" s="28"/>
      <c r="BS42" s="28"/>
      <c r="BT42" s="28"/>
      <c r="BU42" s="28"/>
      <c r="BV42" s="28"/>
      <c r="BW42" s="28"/>
      <c r="BX42" s="29"/>
      <c r="BZ42" s="22"/>
      <c r="CA42" s="90"/>
      <c r="CB42" s="23"/>
      <c r="CC42" s="34"/>
      <c r="CD42" s="33"/>
      <c r="CE42" s="34"/>
      <c r="CF42" s="34"/>
      <c r="CG42" s="33"/>
      <c r="CH42" s="28"/>
      <c r="CI42" s="28"/>
      <c r="CJ42" s="28"/>
      <c r="CK42" s="28"/>
      <c r="CL42" s="28"/>
      <c r="CM42" s="28"/>
      <c r="CN42" s="29"/>
      <c r="CP42" s="22"/>
      <c r="CQ42" s="23"/>
      <c r="CR42" s="92"/>
      <c r="CS42" s="92"/>
      <c r="CT42" s="85"/>
      <c r="CU42" s="23"/>
      <c r="CV42" s="23"/>
      <c r="CW42" s="33"/>
      <c r="CX42" s="28"/>
      <c r="CY42" s="28"/>
      <c r="CZ42" s="28"/>
      <c r="DA42" s="28"/>
      <c r="DB42" s="29"/>
      <c r="DD42" s="22"/>
      <c r="DE42" s="23"/>
      <c r="DF42" s="23"/>
      <c r="DG42" s="34"/>
      <c r="DH42" s="33"/>
      <c r="DI42" s="23"/>
      <c r="DJ42" s="23"/>
      <c r="DK42" s="33"/>
      <c r="DL42" s="28"/>
      <c r="DM42" s="28"/>
      <c r="DN42" s="28"/>
      <c r="DO42" s="28"/>
      <c r="DP42" s="29"/>
      <c r="DR42" s="22"/>
      <c r="DS42" s="23"/>
      <c r="DT42" s="73"/>
      <c r="DU42" s="73"/>
      <c r="DV42" s="85"/>
      <c r="DW42" s="73"/>
      <c r="DX42" s="73"/>
      <c r="DY42" s="85"/>
      <c r="DZ42" s="61"/>
      <c r="EA42" s="61"/>
      <c r="EB42" s="87"/>
      <c r="EC42" s="24"/>
      <c r="ED42" s="24"/>
      <c r="EE42" s="23"/>
      <c r="EF42" s="28"/>
      <c r="EG42" s="28"/>
      <c r="EH42" s="28"/>
      <c r="EI42" s="28"/>
      <c r="EJ42" s="26"/>
      <c r="EL42" s="22"/>
      <c r="EM42" s="23"/>
      <c r="EN42" s="27"/>
      <c r="EO42" s="28"/>
      <c r="EP42" s="28"/>
    </row>
    <row r="43" spans="2:146" s="16" customFormat="1" ht="15.75" x14ac:dyDescent="0.25">
      <c r="B43" s="36"/>
      <c r="C43" s="37"/>
      <c r="D43" s="69"/>
      <c r="E43" s="69"/>
      <c r="F43" s="65"/>
      <c r="G43" s="64"/>
      <c r="H43" s="64"/>
      <c r="I43" s="65"/>
      <c r="J43" s="64"/>
      <c r="K43" s="64"/>
      <c r="L43" s="65"/>
      <c r="M43" s="64"/>
      <c r="N43" s="64"/>
      <c r="O43" s="65"/>
      <c r="P43" s="66"/>
      <c r="Q43" s="66"/>
      <c r="R43" s="66"/>
      <c r="S43" s="66"/>
      <c r="T43" s="21"/>
      <c r="U43" s="21"/>
      <c r="V43" s="29"/>
      <c r="X43" s="36"/>
      <c r="Y43" s="37"/>
      <c r="Z43" s="38"/>
      <c r="AA43" s="38"/>
      <c r="AB43" s="43"/>
      <c r="AC43" s="38"/>
      <c r="AD43" s="38"/>
      <c r="AE43" s="39"/>
      <c r="AF43" s="42"/>
      <c r="AG43" s="42"/>
      <c r="AH43" s="42"/>
      <c r="AI43" s="42"/>
      <c r="AJ43" s="14"/>
      <c r="AK43" s="14"/>
      <c r="AL43" s="14"/>
      <c r="AN43" s="36"/>
      <c r="AO43" s="91"/>
      <c r="AP43" s="75"/>
      <c r="AQ43" s="75"/>
      <c r="AR43" s="76"/>
      <c r="AS43" s="64"/>
      <c r="AT43" s="64"/>
      <c r="AU43" s="76"/>
      <c r="AV43" s="40"/>
      <c r="AW43" s="40"/>
      <c r="AX43" s="44"/>
      <c r="AY43" s="42"/>
      <c r="AZ43" s="42"/>
      <c r="BA43" s="42"/>
      <c r="BB43" s="42"/>
      <c r="BC43" s="21"/>
      <c r="BD43" s="21"/>
      <c r="BE43" s="45"/>
      <c r="BG43" s="36"/>
      <c r="BH43" s="91"/>
      <c r="BI43" s="69"/>
      <c r="BJ43" s="69"/>
      <c r="BK43" s="75"/>
      <c r="BL43" s="69"/>
      <c r="BM43" s="89"/>
      <c r="BN43" s="69"/>
      <c r="BO43" s="38"/>
      <c r="BP43" s="38"/>
      <c r="BQ43" s="39"/>
      <c r="BR43" s="42"/>
      <c r="BS43" s="42"/>
      <c r="BT43" s="42"/>
      <c r="BU43" s="42"/>
      <c r="BV43" s="21"/>
      <c r="BW43" s="21"/>
      <c r="BX43" s="45"/>
      <c r="BZ43" s="36"/>
      <c r="CA43" s="91"/>
      <c r="CB43" s="37"/>
      <c r="CC43" s="46"/>
      <c r="CD43" s="47"/>
      <c r="CE43" s="46"/>
      <c r="CF43" s="46"/>
      <c r="CG43" s="47"/>
      <c r="CH43" s="42"/>
      <c r="CI43" s="42"/>
      <c r="CJ43" s="42"/>
      <c r="CK43" s="42"/>
      <c r="CL43" s="21"/>
      <c r="CM43" s="21"/>
      <c r="CN43" s="45"/>
      <c r="CP43" s="36"/>
      <c r="CQ43" s="37"/>
      <c r="CR43" s="48"/>
      <c r="CS43" s="48"/>
      <c r="CT43" s="47"/>
      <c r="CU43" s="37"/>
      <c r="CV43" s="37"/>
      <c r="CW43" s="47"/>
      <c r="CX43" s="42"/>
      <c r="CY43" s="42"/>
      <c r="CZ43" s="21"/>
      <c r="DA43" s="21"/>
      <c r="DB43" s="45"/>
      <c r="DD43" s="36"/>
      <c r="DE43" s="37"/>
      <c r="DF43" s="37"/>
      <c r="DG43" s="46"/>
      <c r="DH43" s="47"/>
      <c r="DI43" s="37"/>
      <c r="DJ43" s="37"/>
      <c r="DK43" s="47"/>
      <c r="DL43" s="42"/>
      <c r="DM43" s="42"/>
      <c r="DN43" s="21"/>
      <c r="DO43" s="21"/>
      <c r="DP43" s="45"/>
      <c r="DR43" s="36"/>
      <c r="DS43" s="37"/>
      <c r="DT43" s="37"/>
      <c r="DU43" s="37"/>
      <c r="DV43" s="47"/>
      <c r="DW43" s="37"/>
      <c r="DX43" s="37"/>
      <c r="DY43" s="47"/>
      <c r="DZ43" s="40"/>
      <c r="EA43" s="40"/>
      <c r="EB43" s="49"/>
      <c r="EC43" s="38"/>
      <c r="ED43" s="38"/>
      <c r="EE43" s="37"/>
      <c r="EF43" s="42"/>
      <c r="EG43" s="42"/>
      <c r="EH43" s="21"/>
      <c r="EI43" s="21"/>
      <c r="EJ43" s="40"/>
      <c r="EL43" s="36"/>
      <c r="EM43" s="37"/>
      <c r="EN43" s="41"/>
      <c r="EO43" s="42"/>
      <c r="EP43" s="21"/>
    </row>
    <row r="44" spans="2:146" x14ac:dyDescent="0.25">
      <c r="F44" s="3">
        <v>0.37815126050420167</v>
      </c>
      <c r="G44" s="3"/>
      <c r="H44" s="3"/>
      <c r="I44" s="3">
        <v>0.45</v>
      </c>
      <c r="J44" s="3"/>
      <c r="K44" s="3"/>
      <c r="L44" s="3"/>
      <c r="M44" s="3"/>
      <c r="N44" s="3"/>
      <c r="O44" s="3"/>
      <c r="U44" s="50">
        <f>SUM(U35:U41)</f>
        <v>25.389999999999997</v>
      </c>
      <c r="V44" s="50">
        <f>SUM(V35:V41)</f>
        <v>42</v>
      </c>
      <c r="BM44" s="7"/>
    </row>
    <row r="45" spans="2:146" x14ac:dyDescent="0.25">
      <c r="V45" s="51">
        <f>+U44/V44</f>
        <v>0.60452380952380946</v>
      </c>
      <c r="BM45" s="7"/>
    </row>
    <row r="46" spans="2:146" x14ac:dyDescent="0.25">
      <c r="BM46" s="7"/>
    </row>
    <row r="47" spans="2:146" x14ac:dyDescent="0.25">
      <c r="BM47" s="7"/>
    </row>
    <row r="48" spans="2:146" x14ac:dyDescent="0.25">
      <c r="BM48" s="7"/>
    </row>
    <row r="49" spans="65:65" x14ac:dyDescent="0.25">
      <c r="BM49" s="7"/>
    </row>
    <row r="50" spans="65:65" x14ac:dyDescent="0.25">
      <c r="BM50" s="7"/>
    </row>
  </sheetData>
  <mergeCells count="143">
    <mergeCell ref="EG7:EG8"/>
    <mergeCell ref="DT7:DV7"/>
    <mergeCell ref="DW7:DY7"/>
    <mergeCell ref="EC7:EE7"/>
    <mergeCell ref="EH7:EH8"/>
    <mergeCell ref="EI7:EI8"/>
    <mergeCell ref="DE5:DP5"/>
    <mergeCell ref="DE7:DE8"/>
    <mergeCell ref="DR7:DR8"/>
    <mergeCell ref="EM7:EM8"/>
    <mergeCell ref="EL7:EL8"/>
    <mergeCell ref="EN7:EN8"/>
    <mergeCell ref="EO7:EO8"/>
    <mergeCell ref="EJ7:EJ8"/>
    <mergeCell ref="EG3:EJ3"/>
    <mergeCell ref="DD7:DD8"/>
    <mergeCell ref="DN7:DN8"/>
    <mergeCell ref="DO7:DO8"/>
    <mergeCell ref="DF7:DH7"/>
    <mergeCell ref="DI7:DK7"/>
    <mergeCell ref="DR2:DR3"/>
    <mergeCell ref="DS2:EE3"/>
    <mergeCell ref="EM5:ER5"/>
    <mergeCell ref="EL2:EL3"/>
    <mergeCell ref="EM2:EO3"/>
    <mergeCell ref="EQ2:ER2"/>
    <mergeCell ref="EQ3:ER3"/>
    <mergeCell ref="EM4:ER4"/>
    <mergeCell ref="DZ7:EB7"/>
    <mergeCell ref="EG2:EJ2"/>
    <mergeCell ref="DS4:EJ4"/>
    <mergeCell ref="DS5:EJ5"/>
    <mergeCell ref="EF7:EF8"/>
    <mergeCell ref="CZ7:CZ8"/>
    <mergeCell ref="DB7:DB8"/>
    <mergeCell ref="DM2:DP2"/>
    <mergeCell ref="DP7:DP8"/>
    <mergeCell ref="DL7:DL8"/>
    <mergeCell ref="DM7:DM8"/>
    <mergeCell ref="DM3:DP3"/>
    <mergeCell ref="DE4:DP4"/>
    <mergeCell ref="CY2:DB2"/>
    <mergeCell ref="CQ4:DB4"/>
    <mergeCell ref="CQ5:DB5"/>
    <mergeCell ref="DA7:DA8"/>
    <mergeCell ref="CX7:CX8"/>
    <mergeCell ref="CY7:CY8"/>
    <mergeCell ref="CY3:DB3"/>
    <mergeCell ref="CU7:CW7"/>
    <mergeCell ref="DE2:DK3"/>
    <mergeCell ref="DD2:DD3"/>
    <mergeCell ref="CP2:CP3"/>
    <mergeCell ref="CQ2:CW3"/>
    <mergeCell ref="B2:B3"/>
    <mergeCell ref="C2:O3"/>
    <mergeCell ref="R3:V3"/>
    <mergeCell ref="R2:V2"/>
    <mergeCell ref="C4:V4"/>
    <mergeCell ref="X2:X3"/>
    <mergeCell ref="AN2:AN3"/>
    <mergeCell ref="AO2:AX3"/>
    <mergeCell ref="AO4:BE4"/>
    <mergeCell ref="P2:Q2"/>
    <mergeCell ref="P3:Q3"/>
    <mergeCell ref="Y4:AL4"/>
    <mergeCell ref="AH3:AL3"/>
    <mergeCell ref="AH2:AL2"/>
    <mergeCell ref="Y2:AF3"/>
    <mergeCell ref="BA2:BE2"/>
    <mergeCell ref="BA3:BE3"/>
    <mergeCell ref="BZ2:BZ3"/>
    <mergeCell ref="CA2:CG3"/>
    <mergeCell ref="CJ2:CN2"/>
    <mergeCell ref="CJ3:CN3"/>
    <mergeCell ref="CA4:CN4"/>
    <mergeCell ref="CH3:CI3"/>
    <mergeCell ref="CH2:CI2"/>
    <mergeCell ref="CL7:CL8"/>
    <mergeCell ref="CJ7:CK7"/>
    <mergeCell ref="CH7:CI7"/>
    <mergeCell ref="CA7:CA8"/>
    <mergeCell ref="BZ7:BZ8"/>
    <mergeCell ref="R7:S7"/>
    <mergeCell ref="AH7:AI7"/>
    <mergeCell ref="CA5:CN5"/>
    <mergeCell ref="CM7:CM8"/>
    <mergeCell ref="BH4:BX4"/>
    <mergeCell ref="BG2:BG3"/>
    <mergeCell ref="BH2:BQ3"/>
    <mergeCell ref="AY2:AZ2"/>
    <mergeCell ref="AY3:AZ3"/>
    <mergeCell ref="BR2:BS2"/>
    <mergeCell ref="BR3:BS3"/>
    <mergeCell ref="BX7:BX8"/>
    <mergeCell ref="BI7:BK7"/>
    <mergeCell ref="BL7:BN7"/>
    <mergeCell ref="BT2:BX2"/>
    <mergeCell ref="BT3:BX3"/>
    <mergeCell ref="CP7:CP8"/>
    <mergeCell ref="CQ7:CQ8"/>
    <mergeCell ref="CR7:CT7"/>
    <mergeCell ref="CB7:CD7"/>
    <mergeCell ref="CE7:CG7"/>
    <mergeCell ref="CN7:CN8"/>
    <mergeCell ref="C5:V5"/>
    <mergeCell ref="AO5:BE5"/>
    <mergeCell ref="Y5:AL5"/>
    <mergeCell ref="AS7:AU7"/>
    <mergeCell ref="BO7:BQ7"/>
    <mergeCell ref="AY7:AZ7"/>
    <mergeCell ref="BA7:BB7"/>
    <mergeCell ref="BR7:BS7"/>
    <mergeCell ref="BT7:BU7"/>
    <mergeCell ref="BC7:BC8"/>
    <mergeCell ref="BE7:BE8"/>
    <mergeCell ref="BD7:BD8"/>
    <mergeCell ref="AV7:AX7"/>
    <mergeCell ref="BG7:BG8"/>
    <mergeCell ref="BH7:BH8"/>
    <mergeCell ref="BH5:BX5"/>
    <mergeCell ref="BV7:BV8"/>
    <mergeCell ref="BW7:BW8"/>
    <mergeCell ref="B7:B8"/>
    <mergeCell ref="C7:C8"/>
    <mergeCell ref="T7:T8"/>
    <mergeCell ref="D7:F7"/>
    <mergeCell ref="G7:I7"/>
    <mergeCell ref="AP7:AR7"/>
    <mergeCell ref="Z7:AB7"/>
    <mergeCell ref="AC7:AE7"/>
    <mergeCell ref="AJ7:AJ8"/>
    <mergeCell ref="AK7:AK8"/>
    <mergeCell ref="AL7:AL8"/>
    <mergeCell ref="AF7:AG7"/>
    <mergeCell ref="X7:X8"/>
    <mergeCell ref="Y7:Y8"/>
    <mergeCell ref="AN7:AN8"/>
    <mergeCell ref="AO7:AO8"/>
    <mergeCell ref="M7:O7"/>
    <mergeCell ref="U7:U8"/>
    <mergeCell ref="V7:V8"/>
    <mergeCell ref="J7:L7"/>
    <mergeCell ref="P7:Q7"/>
  </mergeCells>
  <pageMargins left="0.7" right="0.7" top="0.75" bottom="0.75" header="0.3" footer="0.3"/>
  <pageSetup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X2:BC42"/>
  <sheetViews>
    <sheetView showGridLines="0" topLeftCell="AK1" zoomScaleNormal="100" workbookViewId="0">
      <selection activeCell="AZ3" sqref="AZ3"/>
    </sheetView>
  </sheetViews>
  <sheetFormatPr baseColWidth="10" defaultRowHeight="12.75" outlineLevelCol="1" x14ac:dyDescent="0.2"/>
  <cols>
    <col min="1" max="22" width="0" style="123" hidden="1" customWidth="1"/>
    <col min="23" max="23" width="2.28515625" style="123" customWidth="1"/>
    <col min="24" max="24" width="26.28515625" style="123" hidden="1" customWidth="1"/>
    <col min="25" max="25" width="11.42578125" style="123" hidden="1" customWidth="1"/>
    <col min="26" max="27" width="12.85546875" style="123" hidden="1" customWidth="1"/>
    <col min="28" max="36" width="11.42578125" style="123" hidden="1" customWidth="1"/>
    <col min="37" max="37" width="8.7109375" style="123" customWidth="1"/>
    <col min="38" max="38" width="29.5703125" style="123" bestFit="1" customWidth="1"/>
    <col min="39" max="39" width="11.42578125" style="123"/>
    <col min="40" max="41" width="16.140625" style="123" customWidth="1"/>
    <col min="42" max="42" width="11.42578125" style="123"/>
    <col min="43" max="43" width="11.42578125" style="123" customWidth="1"/>
    <col min="44" max="44" width="11.42578125" style="123"/>
    <col min="45" max="45" width="11.42578125" style="123" customWidth="1"/>
    <col min="46" max="46" width="11.42578125" style="123"/>
    <col min="47" max="47" width="0" style="123" hidden="1" customWidth="1"/>
    <col min="48" max="48" width="17.85546875" style="123" customWidth="1"/>
    <col min="49" max="49" width="11.42578125" style="123" customWidth="1"/>
    <col min="50" max="50" width="11.42578125" style="123" customWidth="1" outlineLevel="1"/>
    <col min="51" max="16384" width="11.42578125" style="123"/>
  </cols>
  <sheetData>
    <row r="2" spans="24:55" ht="30" customHeight="1" x14ac:dyDescent="0.2">
      <c r="X2" s="602" t="s">
        <v>98</v>
      </c>
      <c r="Y2" s="618" t="s">
        <v>49</v>
      </c>
      <c r="Z2" s="618"/>
      <c r="AA2" s="618"/>
      <c r="AB2" s="618"/>
      <c r="AC2" s="618"/>
      <c r="AD2" s="114" t="s">
        <v>3</v>
      </c>
      <c r="AE2" s="610" t="s">
        <v>4</v>
      </c>
      <c r="AF2" s="628"/>
      <c r="AG2" s="628"/>
      <c r="AH2" s="628"/>
      <c r="AI2" s="628"/>
      <c r="AJ2" s="628"/>
      <c r="AL2" s="602" t="s">
        <v>397</v>
      </c>
      <c r="AM2" s="618" t="s">
        <v>49</v>
      </c>
      <c r="AN2" s="618"/>
      <c r="AO2" s="618"/>
      <c r="AP2" s="618"/>
      <c r="AQ2" s="618"/>
      <c r="AR2" s="114" t="s">
        <v>3</v>
      </c>
      <c r="AS2" s="610" t="s">
        <v>134</v>
      </c>
      <c r="AT2" s="628"/>
      <c r="AU2" s="628"/>
      <c r="AV2" s="628"/>
      <c r="AW2" s="628"/>
      <c r="AX2" s="628"/>
      <c r="AY2" s="628"/>
    </row>
    <row r="3" spans="24:55" ht="39" customHeight="1" x14ac:dyDescent="0.2">
      <c r="X3" s="603"/>
      <c r="Y3" s="618"/>
      <c r="Z3" s="618"/>
      <c r="AA3" s="618"/>
      <c r="AB3" s="618"/>
      <c r="AC3" s="618"/>
      <c r="AD3" s="566">
        <v>0.8</v>
      </c>
      <c r="AE3" s="618" t="s">
        <v>48</v>
      </c>
      <c r="AF3" s="618"/>
      <c r="AG3" s="618"/>
      <c r="AH3" s="618"/>
      <c r="AI3" s="618"/>
      <c r="AJ3" s="618"/>
      <c r="AL3" s="603"/>
      <c r="AM3" s="618"/>
      <c r="AN3" s="618"/>
      <c r="AO3" s="618"/>
      <c r="AP3" s="618"/>
      <c r="AQ3" s="618"/>
      <c r="AR3" s="566">
        <v>0.8</v>
      </c>
      <c r="AS3" s="610" t="s">
        <v>139</v>
      </c>
      <c r="AT3" s="628"/>
      <c r="AU3" s="628"/>
      <c r="AV3" s="628"/>
      <c r="AW3" s="628"/>
      <c r="AX3" s="628"/>
      <c r="AY3" s="628"/>
    </row>
    <row r="4" spans="24:55" ht="30" customHeight="1" x14ac:dyDescent="0.2">
      <c r="X4" s="104" t="s">
        <v>1</v>
      </c>
      <c r="Y4" s="629" t="s">
        <v>50</v>
      </c>
      <c r="Z4" s="630"/>
      <c r="AA4" s="630"/>
      <c r="AB4" s="630"/>
      <c r="AC4" s="630"/>
      <c r="AD4" s="630"/>
      <c r="AE4" s="630"/>
      <c r="AF4" s="630"/>
      <c r="AG4" s="630"/>
      <c r="AH4" s="630"/>
      <c r="AI4" s="630"/>
      <c r="AJ4" s="630"/>
      <c r="AL4" s="104" t="s">
        <v>1</v>
      </c>
      <c r="AM4" s="610" t="s">
        <v>146</v>
      </c>
      <c r="AN4" s="628"/>
      <c r="AO4" s="628"/>
      <c r="AP4" s="628"/>
      <c r="AQ4" s="628"/>
      <c r="AR4" s="628"/>
      <c r="AS4" s="628"/>
      <c r="AT4" s="628"/>
      <c r="AU4" s="628"/>
      <c r="AV4" s="628"/>
      <c r="AW4" s="628"/>
      <c r="AX4" s="628"/>
      <c r="AY4" s="628"/>
    </row>
    <row r="5" spans="24:55" ht="18.75" customHeight="1" x14ac:dyDescent="0.2">
      <c r="X5" s="104" t="s">
        <v>2</v>
      </c>
      <c r="Y5" s="610" t="s">
        <v>51</v>
      </c>
      <c r="Z5" s="628"/>
      <c r="AA5" s="628"/>
      <c r="AB5" s="628"/>
      <c r="AC5" s="628"/>
      <c r="AD5" s="628"/>
      <c r="AE5" s="628"/>
      <c r="AF5" s="628"/>
      <c r="AG5" s="628"/>
      <c r="AH5" s="628"/>
      <c r="AI5" s="628"/>
      <c r="AJ5" s="628"/>
      <c r="AL5" s="104" t="s">
        <v>2</v>
      </c>
      <c r="AM5" s="610" t="s">
        <v>147</v>
      </c>
      <c r="AN5" s="628"/>
      <c r="AO5" s="628"/>
      <c r="AP5" s="628"/>
      <c r="AQ5" s="628"/>
      <c r="AR5" s="628"/>
      <c r="AS5" s="628"/>
      <c r="AT5" s="628"/>
      <c r="AU5" s="628"/>
      <c r="AV5" s="628"/>
      <c r="AW5" s="628"/>
      <c r="AX5" s="628"/>
      <c r="AY5" s="628"/>
    </row>
    <row r="7" spans="24:55" ht="24" customHeight="1" x14ac:dyDescent="0.2">
      <c r="X7" s="620" t="s">
        <v>40</v>
      </c>
      <c r="Y7" s="620" t="s">
        <v>41</v>
      </c>
      <c r="Z7" s="622" t="s">
        <v>119</v>
      </c>
      <c r="AA7" s="623"/>
      <c r="AB7" s="624"/>
      <c r="AC7" s="625" t="s">
        <v>43</v>
      </c>
      <c r="AD7" s="625"/>
      <c r="AE7" s="626" t="s">
        <v>95</v>
      </c>
      <c r="AF7" s="627"/>
      <c r="AG7" s="616" t="s">
        <v>81</v>
      </c>
      <c r="AH7" s="616" t="s">
        <v>82</v>
      </c>
      <c r="AI7" s="616" t="s">
        <v>83</v>
      </c>
      <c r="AJ7" s="371" t="s">
        <v>121</v>
      </c>
      <c r="AL7" s="602" t="s">
        <v>40</v>
      </c>
      <c r="AM7" s="602" t="s">
        <v>41</v>
      </c>
      <c r="AN7" s="619" t="s">
        <v>131</v>
      </c>
      <c r="AO7" s="619" t="s">
        <v>132</v>
      </c>
      <c r="AP7" s="619" t="s">
        <v>87</v>
      </c>
      <c r="AQ7" s="618" t="s">
        <v>43</v>
      </c>
      <c r="AR7" s="618"/>
      <c r="AS7" s="610" t="s">
        <v>94</v>
      </c>
      <c r="AT7" s="611"/>
      <c r="AU7" s="616" t="s">
        <v>125</v>
      </c>
      <c r="AV7" s="632" t="s">
        <v>124</v>
      </c>
      <c r="AW7" s="634" t="s">
        <v>83</v>
      </c>
      <c r="AX7" s="631" t="s">
        <v>367</v>
      </c>
      <c r="AY7" s="631" t="s">
        <v>137</v>
      </c>
    </row>
    <row r="8" spans="24:55" ht="76.5" x14ac:dyDescent="0.2">
      <c r="X8" s="621"/>
      <c r="Y8" s="621"/>
      <c r="Z8" s="568" t="s">
        <v>120</v>
      </c>
      <c r="AA8" s="568" t="s">
        <v>91</v>
      </c>
      <c r="AB8" s="568" t="s">
        <v>87</v>
      </c>
      <c r="AC8" s="567" t="s">
        <v>92</v>
      </c>
      <c r="AD8" s="567" t="s">
        <v>93</v>
      </c>
      <c r="AE8" s="567" t="s">
        <v>92</v>
      </c>
      <c r="AF8" s="567" t="s">
        <v>93</v>
      </c>
      <c r="AG8" s="617"/>
      <c r="AH8" s="617"/>
      <c r="AI8" s="617"/>
      <c r="AJ8" s="569" t="s">
        <v>122</v>
      </c>
      <c r="AL8" s="603"/>
      <c r="AM8" s="603"/>
      <c r="AN8" s="619"/>
      <c r="AO8" s="619"/>
      <c r="AP8" s="619"/>
      <c r="AQ8" s="114" t="s">
        <v>92</v>
      </c>
      <c r="AR8" s="114" t="s">
        <v>93</v>
      </c>
      <c r="AS8" s="114" t="s">
        <v>92</v>
      </c>
      <c r="AT8" s="114" t="s">
        <v>93</v>
      </c>
      <c r="AU8" s="617"/>
      <c r="AV8" s="633"/>
      <c r="AW8" s="635"/>
      <c r="AX8" s="631"/>
      <c r="AY8" s="631"/>
    </row>
    <row r="9" spans="24:55" x14ac:dyDescent="0.2">
      <c r="X9" s="79" t="s">
        <v>6</v>
      </c>
      <c r="Y9" s="79" t="s">
        <v>7</v>
      </c>
      <c r="Z9" s="373">
        <v>4987</v>
      </c>
      <c r="AA9" s="499">
        <v>12841</v>
      </c>
      <c r="AB9" s="374">
        <f>Z9/AA9</f>
        <v>0.38836539210341875</v>
      </c>
      <c r="AC9" s="401">
        <f t="shared" ref="AC9:AC25" si="0">IF(AB9&lt;$AD$3,$AD$3-AB9,"-")</f>
        <v>0.41163460789658129</v>
      </c>
      <c r="AD9" s="570">
        <f>IFERROR(AC9*AA9,"-")</f>
        <v>5285.8</v>
      </c>
      <c r="AE9" s="401">
        <f>IFERROR(AC9*0.25,"-")</f>
        <v>0.10290865197414532</v>
      </c>
      <c r="AF9" s="570">
        <f>IFERROR(AE9*AA9,"-")</f>
        <v>1321.45</v>
      </c>
      <c r="AG9" s="571">
        <f>IFERROR((AE9+AB9),IF(AB9&gt;=$AD$3,$AD$3))</f>
        <v>0.49127404407756409</v>
      </c>
      <c r="AH9" s="379">
        <f>AG9*AA9</f>
        <v>6308.4500000000007</v>
      </c>
      <c r="AI9" s="379">
        <f>AA9</f>
        <v>12841</v>
      </c>
      <c r="AJ9" s="572">
        <f>AH9*0.9</f>
        <v>5677.6050000000005</v>
      </c>
      <c r="AL9" s="79" t="s">
        <v>6</v>
      </c>
      <c r="AM9" s="79" t="s">
        <v>7</v>
      </c>
      <c r="AN9" s="508">
        <v>5240</v>
      </c>
      <c r="AO9" s="508">
        <f>VLOOKUP(AL9,'PAP ref'!$C$11:$J$62,4,0)</f>
        <v>13169</v>
      </c>
      <c r="AP9" s="374">
        <f>AN9/AO9</f>
        <v>0.39790416888146407</v>
      </c>
      <c r="AQ9" s="375">
        <f>IF(AP9&lt;$AR$3,$AR$3-AP9,"-")</f>
        <v>0.40209583111853597</v>
      </c>
      <c r="AR9" s="376">
        <f>IFERROR(AQ9*AO9,"-")</f>
        <v>5295.2</v>
      </c>
      <c r="AS9" s="375">
        <f>IFERROR(AQ9*0.3,"-")</f>
        <v>0.12062874933556078</v>
      </c>
      <c r="AT9" s="376">
        <f t="shared" ref="AT9:AT24" si="1">IFERROR(AS9*AO9,"-")</f>
        <v>1588.56</v>
      </c>
      <c r="AU9" s="571">
        <f>IFERROR((AS9+AP9),IF(AP9&gt;=$AD$3,$AD$3))</f>
        <v>0.51853291821702485</v>
      </c>
      <c r="AV9" s="511">
        <f>IFERROR(AT9+AN9,"-")</f>
        <v>6828.5599999999995</v>
      </c>
      <c r="AW9" s="386">
        <f>AO9</f>
        <v>13169</v>
      </c>
      <c r="AX9" s="573">
        <f>IFERROR(AV9*0.9,"-")</f>
        <v>6145.7039999999997</v>
      </c>
      <c r="AY9" s="380">
        <v>0.9</v>
      </c>
    </row>
    <row r="10" spans="24:55" x14ac:dyDescent="0.2">
      <c r="X10" s="79" t="s">
        <v>8</v>
      </c>
      <c r="Y10" s="79" t="s">
        <v>7</v>
      </c>
      <c r="Z10" s="373">
        <v>2890</v>
      </c>
      <c r="AA10" s="499">
        <v>6283</v>
      </c>
      <c r="AB10" s="374">
        <f t="shared" ref="AB10:AB41" si="2">Z10/AA10</f>
        <v>0.45997135126531913</v>
      </c>
      <c r="AC10" s="401">
        <f t="shared" si="0"/>
        <v>0.34002864873468092</v>
      </c>
      <c r="AD10" s="570">
        <f t="shared" ref="AD10:AD24" si="3">IFERROR(AC10*AA10,"-")</f>
        <v>2136.4</v>
      </c>
      <c r="AE10" s="401">
        <f t="shared" ref="AE10:AE41" si="4">IFERROR(AC10*0.25,"-")</f>
        <v>8.5007162183670229E-2</v>
      </c>
      <c r="AF10" s="570">
        <f t="shared" ref="AF10:AF41" si="5">IFERROR(AE10*AA10,"-")</f>
        <v>534.1</v>
      </c>
      <c r="AG10" s="571">
        <f t="shared" ref="AG10:AG41" si="6">IFERROR((AE10+AB10),IF(AB10&gt;=$AD$3,$AD$3))</f>
        <v>0.5449785134489894</v>
      </c>
      <c r="AH10" s="379">
        <f t="shared" ref="AH10:AH41" si="7">AG10*AA10</f>
        <v>3424.1000000000004</v>
      </c>
      <c r="AI10" s="379">
        <f t="shared" ref="AI10:AI41" si="8">AA10</f>
        <v>6283</v>
      </c>
      <c r="AJ10" s="572">
        <f t="shared" ref="AJ10:AJ41" si="9">AH10*0.9</f>
        <v>3081.6900000000005</v>
      </c>
      <c r="AL10" s="79" t="s">
        <v>8</v>
      </c>
      <c r="AM10" s="79" t="s">
        <v>7</v>
      </c>
      <c r="AN10" s="508">
        <f>SUM('[2]117303'!$B$11:$B$18)+SUM('[2]117410'!$B$11:$B$18)</f>
        <v>2822</v>
      </c>
      <c r="AO10" s="508">
        <f>VLOOKUP(AL10,'PAP ref'!$C$11:$J$62,4,0)</f>
        <v>6455</v>
      </c>
      <c r="AP10" s="374">
        <f t="shared" ref="AP10:AP25" si="10">AN10/AO10</f>
        <v>0.43718048024786987</v>
      </c>
      <c r="AQ10" s="375">
        <f>IF(AP10&lt;$AR$3,$AR$3-AP10,"-")</f>
        <v>0.36281951975213017</v>
      </c>
      <c r="AR10" s="376">
        <f>IFERROR(AQ10*AO10,"-")</f>
        <v>2342.0000000000005</v>
      </c>
      <c r="AS10" s="375">
        <f t="shared" ref="AS10:AS25" si="11">IFERROR(AQ10*0.3,"-")</f>
        <v>0.10884585592563904</v>
      </c>
      <c r="AT10" s="376">
        <f>IFERROR(AS10*AO10,"-")</f>
        <v>702.6</v>
      </c>
      <c r="AU10" s="571">
        <f t="shared" ref="AU10:AU25" si="12">IFERROR((AS10+AP10),IF(AP10&gt;=$AD$3,$AD$3))</f>
        <v>0.54602633617350893</v>
      </c>
      <c r="AV10" s="511">
        <f>IFERROR(AT10+AN10,"-")</f>
        <v>3524.6</v>
      </c>
      <c r="AW10" s="386">
        <f t="shared" ref="AW10:AW25" si="13">AO10</f>
        <v>6455</v>
      </c>
      <c r="AX10" s="573">
        <f>IFERROR(AV10*0.9,"-")</f>
        <v>3172.14</v>
      </c>
      <c r="AY10" s="380">
        <v>0.9</v>
      </c>
    </row>
    <row r="11" spans="24:55" x14ac:dyDescent="0.2">
      <c r="X11" s="79" t="s">
        <v>9</v>
      </c>
      <c r="Y11" s="79" t="s">
        <v>7</v>
      </c>
      <c r="Z11" s="373">
        <v>2494</v>
      </c>
      <c r="AA11" s="499">
        <v>6790</v>
      </c>
      <c r="AB11" s="374">
        <f t="shared" si="2"/>
        <v>0.36730486008836527</v>
      </c>
      <c r="AC11" s="401">
        <f t="shared" si="0"/>
        <v>0.43269513991163477</v>
      </c>
      <c r="AD11" s="570">
        <f t="shared" si="3"/>
        <v>2938</v>
      </c>
      <c r="AE11" s="401">
        <f t="shared" si="4"/>
        <v>0.10817378497790869</v>
      </c>
      <c r="AF11" s="570">
        <f t="shared" si="5"/>
        <v>734.5</v>
      </c>
      <c r="AG11" s="571">
        <f t="shared" si="6"/>
        <v>0.47547864506627396</v>
      </c>
      <c r="AH11" s="379">
        <f t="shared" si="7"/>
        <v>3228.5</v>
      </c>
      <c r="AI11" s="379">
        <f t="shared" si="8"/>
        <v>6790</v>
      </c>
      <c r="AJ11" s="572">
        <f t="shared" si="9"/>
        <v>2905.65</v>
      </c>
      <c r="AL11" s="79" t="s">
        <v>9</v>
      </c>
      <c r="AM11" s="79" t="s">
        <v>7</v>
      </c>
      <c r="AN11" s="508" cm="1">
        <f t="array" ref="AN11">SUM('[2]117304'!$B$11:$B$18+'[2]200261'!$B$11:$B$18)</f>
        <v>2687</v>
      </c>
      <c r="AO11" s="508">
        <f>VLOOKUP(AL11,'PAP ref'!$C$11:$J$62,4,0)</f>
        <v>6856</v>
      </c>
      <c r="AP11" s="374">
        <f t="shared" si="10"/>
        <v>0.39191948658109688</v>
      </c>
      <c r="AQ11" s="375">
        <f>IF(AP11&lt;$AR$3,$AR$3-AP11,"-")</f>
        <v>0.40808051341890317</v>
      </c>
      <c r="AR11" s="376">
        <f t="shared" ref="AR11:AR25" si="14">IFERROR(AQ11*AO11,"-")</f>
        <v>2797.8</v>
      </c>
      <c r="AS11" s="375">
        <f t="shared" si="11"/>
        <v>0.12242415402567094</v>
      </c>
      <c r="AT11" s="376">
        <f t="shared" si="1"/>
        <v>839.34</v>
      </c>
      <c r="AU11" s="571">
        <f t="shared" si="12"/>
        <v>0.51434364060676785</v>
      </c>
      <c r="AV11" s="511">
        <f t="shared" ref="AV11:AV41" si="15">IFERROR(AT11+AN11,"-")</f>
        <v>3526.34</v>
      </c>
      <c r="AW11" s="386">
        <f t="shared" si="13"/>
        <v>6856</v>
      </c>
      <c r="AX11" s="573">
        <f t="shared" ref="AX11:AX25" si="16">IFERROR(AV11*0.9,"-")</f>
        <v>3173.7060000000001</v>
      </c>
      <c r="AY11" s="380">
        <v>0.9</v>
      </c>
      <c r="BC11" s="574"/>
    </row>
    <row r="12" spans="24:55" x14ac:dyDescent="0.2">
      <c r="X12" s="79" t="s">
        <v>10</v>
      </c>
      <c r="Y12" s="79" t="s">
        <v>7</v>
      </c>
      <c r="Z12" s="373">
        <v>471</v>
      </c>
      <c r="AA12" s="499">
        <v>956</v>
      </c>
      <c r="AB12" s="374">
        <f t="shared" si="2"/>
        <v>0.49267782426778245</v>
      </c>
      <c r="AC12" s="401">
        <f t="shared" si="0"/>
        <v>0.3073221757322176</v>
      </c>
      <c r="AD12" s="570">
        <f t="shared" si="3"/>
        <v>293.8</v>
      </c>
      <c r="AE12" s="401">
        <f t="shared" si="4"/>
        <v>7.6830543933054399E-2</v>
      </c>
      <c r="AF12" s="570">
        <f t="shared" si="5"/>
        <v>73.45</v>
      </c>
      <c r="AG12" s="571">
        <f t="shared" si="6"/>
        <v>0.56950836820083683</v>
      </c>
      <c r="AH12" s="379">
        <f t="shared" si="7"/>
        <v>544.45000000000005</v>
      </c>
      <c r="AI12" s="379">
        <f t="shared" si="8"/>
        <v>956</v>
      </c>
      <c r="AJ12" s="572">
        <f t="shared" si="9"/>
        <v>490.00500000000005</v>
      </c>
      <c r="AL12" s="79" t="s">
        <v>10</v>
      </c>
      <c r="AM12" s="79" t="s">
        <v>7</v>
      </c>
      <c r="AN12" s="508">
        <f>SUM('[2]117322'!$B$11:$B$18)</f>
        <v>521</v>
      </c>
      <c r="AO12" s="508">
        <f>VLOOKUP(AL12,'PAP ref'!$C$11:$J$62,4,0)</f>
        <v>973</v>
      </c>
      <c r="AP12" s="374">
        <f t="shared" si="10"/>
        <v>0.53545734840698866</v>
      </c>
      <c r="AQ12" s="375">
        <f t="shared" ref="AQ12:AQ25" si="17">IF(AP12&lt;$AR$3,$AR$3-AP12,"-")</f>
        <v>0.26454265159301138</v>
      </c>
      <c r="AR12" s="376">
        <f t="shared" si="14"/>
        <v>257.40000000000009</v>
      </c>
      <c r="AS12" s="375">
        <f t="shared" si="11"/>
        <v>7.9362795477903411E-2</v>
      </c>
      <c r="AT12" s="376">
        <f t="shared" si="1"/>
        <v>77.220000000000013</v>
      </c>
      <c r="AU12" s="571">
        <f t="shared" si="12"/>
        <v>0.61482014388489203</v>
      </c>
      <c r="AV12" s="510">
        <f t="shared" si="15"/>
        <v>598.22</v>
      </c>
      <c r="AW12" s="386">
        <f t="shared" si="13"/>
        <v>973</v>
      </c>
      <c r="AX12" s="575">
        <f t="shared" si="16"/>
        <v>538.39800000000002</v>
      </c>
      <c r="AY12" s="380">
        <v>0.9</v>
      </c>
    </row>
    <row r="13" spans="24:55" x14ac:dyDescent="0.2">
      <c r="X13" s="79" t="s">
        <v>11</v>
      </c>
      <c r="Y13" s="79" t="s">
        <v>7</v>
      </c>
      <c r="Z13" s="373">
        <v>3517</v>
      </c>
      <c r="AA13" s="499">
        <v>5911</v>
      </c>
      <c r="AB13" s="374">
        <f t="shared" si="2"/>
        <v>0.59499238707494506</v>
      </c>
      <c r="AC13" s="401">
        <f t="shared" si="0"/>
        <v>0.20500761292505498</v>
      </c>
      <c r="AD13" s="570">
        <f t="shared" si="3"/>
        <v>1211.8</v>
      </c>
      <c r="AE13" s="401">
        <f t="shared" si="4"/>
        <v>5.1251903231263746E-2</v>
      </c>
      <c r="AF13" s="570">
        <f t="shared" si="5"/>
        <v>302.95</v>
      </c>
      <c r="AG13" s="571">
        <f t="shared" si="6"/>
        <v>0.64624429030620878</v>
      </c>
      <c r="AH13" s="379">
        <f t="shared" si="7"/>
        <v>3819.9500000000003</v>
      </c>
      <c r="AI13" s="379">
        <f t="shared" si="8"/>
        <v>5911</v>
      </c>
      <c r="AJ13" s="572">
        <f t="shared" si="9"/>
        <v>3437.9550000000004</v>
      </c>
      <c r="AL13" s="79" t="s">
        <v>11</v>
      </c>
      <c r="AM13" s="79" t="s">
        <v>7</v>
      </c>
      <c r="AN13" s="508">
        <f>SUM('[2]117324'!$B$11:$B$18)</f>
        <v>3725</v>
      </c>
      <c r="AO13" s="508">
        <f>VLOOKUP(AL13,'PAP ref'!$C$11:$J$62,4,0)</f>
        <v>6201</v>
      </c>
      <c r="AP13" s="374">
        <f t="shared" si="10"/>
        <v>0.60070956297371392</v>
      </c>
      <c r="AQ13" s="375">
        <f t="shared" si="17"/>
        <v>0.19929043702628613</v>
      </c>
      <c r="AR13" s="376">
        <f t="shared" si="14"/>
        <v>1235.8000000000002</v>
      </c>
      <c r="AS13" s="375">
        <f t="shared" si="11"/>
        <v>5.9787131107885833E-2</v>
      </c>
      <c r="AT13" s="376">
        <f t="shared" si="1"/>
        <v>370.74000000000007</v>
      </c>
      <c r="AU13" s="571">
        <f t="shared" si="12"/>
        <v>0.66049669408159972</v>
      </c>
      <c r="AV13" s="510">
        <f t="shared" si="15"/>
        <v>4095.7400000000002</v>
      </c>
      <c r="AW13" s="386">
        <f t="shared" si="13"/>
        <v>6201</v>
      </c>
      <c r="AX13" s="575">
        <f t="shared" si="16"/>
        <v>3686.1660000000002</v>
      </c>
      <c r="AY13" s="380">
        <v>0.9</v>
      </c>
    </row>
    <row r="14" spans="24:55" x14ac:dyDescent="0.2">
      <c r="X14" s="79" t="s">
        <v>12</v>
      </c>
      <c r="Y14" s="79" t="s">
        <v>7</v>
      </c>
      <c r="Z14" s="373">
        <v>2087</v>
      </c>
      <c r="AA14" s="499">
        <v>4309</v>
      </c>
      <c r="AB14" s="374">
        <f t="shared" si="2"/>
        <v>0.48433511255511719</v>
      </c>
      <c r="AC14" s="401">
        <f t="shared" si="0"/>
        <v>0.31566488744488286</v>
      </c>
      <c r="AD14" s="570">
        <f t="shared" si="3"/>
        <v>1360.2000000000003</v>
      </c>
      <c r="AE14" s="401">
        <f t="shared" si="4"/>
        <v>7.8916221861220714E-2</v>
      </c>
      <c r="AF14" s="570">
        <f t="shared" si="5"/>
        <v>340.05000000000007</v>
      </c>
      <c r="AG14" s="571">
        <f t="shared" si="6"/>
        <v>0.5632513344163379</v>
      </c>
      <c r="AH14" s="379">
        <f t="shared" si="7"/>
        <v>2427.0500000000002</v>
      </c>
      <c r="AI14" s="379">
        <f t="shared" si="8"/>
        <v>4309</v>
      </c>
      <c r="AJ14" s="572">
        <f t="shared" si="9"/>
        <v>2184.3450000000003</v>
      </c>
      <c r="AL14" s="79" t="s">
        <v>12</v>
      </c>
      <c r="AM14" s="79" t="s">
        <v>7</v>
      </c>
      <c r="AN14" s="508">
        <f>SUM('[2]117330'!$B$11:$B$18)</f>
        <v>2320</v>
      </c>
      <c r="AO14" s="508">
        <f>VLOOKUP(AL14,'PAP ref'!$C$11:$J$62,4,0)</f>
        <v>4675</v>
      </c>
      <c r="AP14" s="374">
        <f t="shared" si="10"/>
        <v>0.49625668449197863</v>
      </c>
      <c r="AQ14" s="375">
        <f t="shared" si="17"/>
        <v>0.30374331550802142</v>
      </c>
      <c r="AR14" s="376">
        <f t="shared" si="14"/>
        <v>1420.0000000000002</v>
      </c>
      <c r="AS14" s="375">
        <f t="shared" si="11"/>
        <v>9.1122994652406419E-2</v>
      </c>
      <c r="AT14" s="376">
        <f t="shared" si="1"/>
        <v>426</v>
      </c>
      <c r="AU14" s="571">
        <f t="shared" si="12"/>
        <v>0.58737967914438505</v>
      </c>
      <c r="AV14" s="510">
        <f t="shared" si="15"/>
        <v>2746</v>
      </c>
      <c r="AW14" s="386">
        <f t="shared" si="13"/>
        <v>4675</v>
      </c>
      <c r="AX14" s="575">
        <f t="shared" si="16"/>
        <v>2471.4</v>
      </c>
      <c r="AY14" s="380">
        <v>0.9</v>
      </c>
    </row>
    <row r="15" spans="24:55" x14ac:dyDescent="0.2">
      <c r="X15" s="79" t="s">
        <v>13</v>
      </c>
      <c r="Y15" s="79" t="s">
        <v>7</v>
      </c>
      <c r="Z15" s="373">
        <v>2887</v>
      </c>
      <c r="AA15" s="499">
        <v>5812</v>
      </c>
      <c r="AB15" s="374">
        <f t="shared" si="2"/>
        <v>0.49673090158293187</v>
      </c>
      <c r="AC15" s="401">
        <f t="shared" si="0"/>
        <v>0.30326909841706817</v>
      </c>
      <c r="AD15" s="570">
        <f t="shared" si="3"/>
        <v>1762.6000000000001</v>
      </c>
      <c r="AE15" s="401">
        <f t="shared" si="4"/>
        <v>7.5817274604267043E-2</v>
      </c>
      <c r="AF15" s="570">
        <f t="shared" si="5"/>
        <v>440.65000000000003</v>
      </c>
      <c r="AG15" s="571">
        <f t="shared" si="6"/>
        <v>0.57254817618719889</v>
      </c>
      <c r="AH15" s="379">
        <f t="shared" si="7"/>
        <v>3327.65</v>
      </c>
      <c r="AI15" s="379">
        <f t="shared" si="8"/>
        <v>5812</v>
      </c>
      <c r="AJ15" s="572">
        <f t="shared" si="9"/>
        <v>2994.8850000000002</v>
      </c>
      <c r="AL15" s="79" t="s">
        <v>13</v>
      </c>
      <c r="AM15" s="79" t="s">
        <v>7</v>
      </c>
      <c r="AN15" s="508">
        <f>SUM('[2]117328'!$B$11:$B$18)+SUM('[2]117413'!$B$11:$B$18)+SUM('[2]117414'!$B$11:$B$18)</f>
        <v>3119</v>
      </c>
      <c r="AO15" s="508">
        <f>VLOOKUP(AL15,'PAP ref'!$C$11:$J$62,4,0)</f>
        <v>6155</v>
      </c>
      <c r="AP15" s="374">
        <f t="shared" si="10"/>
        <v>0.50674248578391556</v>
      </c>
      <c r="AQ15" s="375">
        <f t="shared" si="17"/>
        <v>0.29325751421608448</v>
      </c>
      <c r="AR15" s="376">
        <f t="shared" si="14"/>
        <v>1805</v>
      </c>
      <c r="AS15" s="375">
        <f t="shared" si="11"/>
        <v>8.7977254264825347E-2</v>
      </c>
      <c r="AT15" s="376">
        <f t="shared" si="1"/>
        <v>541.5</v>
      </c>
      <c r="AU15" s="571">
        <f t="shared" si="12"/>
        <v>0.59471974004874095</v>
      </c>
      <c r="AV15" s="510">
        <f t="shared" si="15"/>
        <v>3660.5</v>
      </c>
      <c r="AW15" s="386">
        <f t="shared" si="13"/>
        <v>6155</v>
      </c>
      <c r="AX15" s="575">
        <f t="shared" si="16"/>
        <v>3294.4500000000003</v>
      </c>
      <c r="AY15" s="380">
        <v>0.9</v>
      </c>
    </row>
    <row r="16" spans="24:55" x14ac:dyDescent="0.2">
      <c r="X16" s="79" t="s">
        <v>14</v>
      </c>
      <c r="Y16" s="79" t="s">
        <v>7</v>
      </c>
      <c r="Z16" s="373">
        <v>1779</v>
      </c>
      <c r="AA16" s="499">
        <v>3655</v>
      </c>
      <c r="AB16" s="374">
        <f t="shared" si="2"/>
        <v>0.48673050615595076</v>
      </c>
      <c r="AC16" s="401">
        <f t="shared" si="0"/>
        <v>0.31326949384404928</v>
      </c>
      <c r="AD16" s="570">
        <f t="shared" si="3"/>
        <v>1145.0000000000002</v>
      </c>
      <c r="AE16" s="401">
        <f t="shared" si="4"/>
        <v>7.8317373461012321E-2</v>
      </c>
      <c r="AF16" s="570">
        <f t="shared" si="5"/>
        <v>286.25000000000006</v>
      </c>
      <c r="AG16" s="571">
        <f t="shared" si="6"/>
        <v>0.56504787961696312</v>
      </c>
      <c r="AH16" s="379">
        <f t="shared" si="7"/>
        <v>2065.25</v>
      </c>
      <c r="AI16" s="379">
        <f t="shared" si="8"/>
        <v>3655</v>
      </c>
      <c r="AJ16" s="572">
        <f t="shared" si="9"/>
        <v>1858.7250000000001</v>
      </c>
      <c r="AL16" s="79" t="s">
        <v>14</v>
      </c>
      <c r="AM16" s="79" t="s">
        <v>7</v>
      </c>
      <c r="AN16" s="508">
        <v>1961</v>
      </c>
      <c r="AO16" s="508">
        <f>VLOOKUP(AL16,'PAP ref'!$C$11:$J$62,4,0)</f>
        <v>4063</v>
      </c>
      <c r="AP16" s="374">
        <f t="shared" si="10"/>
        <v>0.48264828944129951</v>
      </c>
      <c r="AQ16" s="375">
        <f t="shared" si="17"/>
        <v>0.31735171055870054</v>
      </c>
      <c r="AR16" s="376">
        <f t="shared" si="14"/>
        <v>1289.4000000000003</v>
      </c>
      <c r="AS16" s="375">
        <f t="shared" si="11"/>
        <v>9.5205513167610153E-2</v>
      </c>
      <c r="AT16" s="376">
        <f t="shared" si="1"/>
        <v>386.82000000000005</v>
      </c>
      <c r="AU16" s="571">
        <f t="shared" si="12"/>
        <v>0.57785380260890962</v>
      </c>
      <c r="AV16" s="510">
        <f t="shared" si="15"/>
        <v>2347.8200000000002</v>
      </c>
      <c r="AW16" s="386">
        <f t="shared" si="13"/>
        <v>4063</v>
      </c>
      <c r="AX16" s="575">
        <f t="shared" si="16"/>
        <v>2113.038</v>
      </c>
      <c r="AY16" s="380">
        <v>0.9</v>
      </c>
    </row>
    <row r="17" spans="24:51" x14ac:dyDescent="0.2">
      <c r="X17" s="79" t="s">
        <v>15</v>
      </c>
      <c r="Y17" s="79" t="s">
        <v>7</v>
      </c>
      <c r="Z17" s="373">
        <v>659</v>
      </c>
      <c r="AA17" s="499">
        <v>1090</v>
      </c>
      <c r="AB17" s="374">
        <f t="shared" si="2"/>
        <v>0.6045871559633027</v>
      </c>
      <c r="AC17" s="401">
        <f t="shared" si="0"/>
        <v>0.19541284403669734</v>
      </c>
      <c r="AD17" s="570">
        <f t="shared" si="3"/>
        <v>213.00000000000011</v>
      </c>
      <c r="AE17" s="401">
        <f t="shared" si="4"/>
        <v>4.8853211009174335E-2</v>
      </c>
      <c r="AF17" s="570">
        <f t="shared" si="5"/>
        <v>53.250000000000028</v>
      </c>
      <c r="AG17" s="571">
        <f t="shared" si="6"/>
        <v>0.65344036697247709</v>
      </c>
      <c r="AH17" s="379">
        <f t="shared" si="7"/>
        <v>712.25</v>
      </c>
      <c r="AI17" s="379">
        <f t="shared" si="8"/>
        <v>1090</v>
      </c>
      <c r="AJ17" s="572">
        <f t="shared" si="9"/>
        <v>641.02499999999998</v>
      </c>
      <c r="AL17" s="79" t="s">
        <v>15</v>
      </c>
      <c r="AM17" s="79" t="s">
        <v>7</v>
      </c>
      <c r="AN17" s="508">
        <f>SUM('[2]117435'!$B$11:$B$18)+SUM('[2]117436'!$B$11:$B$18)+SUM('[2]117437'!$B$11:$B$18)+SUM('[2]117438'!$B$11:$B$18)+SUM('[2]117457'!$B$11:$B$18)+SUM('[2]117473'!$B$11:$B$18)+SUM('[2]117474'!$B$11:$B$18)+SUM('[2]117475'!$B$11:$B$18)+SUM('[2]117476'!$B$11:$B$18)+SUM('[2]117477'!$B$11:$B$18)</f>
        <v>679</v>
      </c>
      <c r="AO17" s="508">
        <f>VLOOKUP(AL17,'PAP ref'!$C$11:$J$62,4,0)</f>
        <v>1170</v>
      </c>
      <c r="AP17" s="374">
        <f t="shared" si="10"/>
        <v>0.58034188034188039</v>
      </c>
      <c r="AQ17" s="375">
        <f t="shared" si="17"/>
        <v>0.21965811965811965</v>
      </c>
      <c r="AR17" s="376">
        <f t="shared" si="14"/>
        <v>257</v>
      </c>
      <c r="AS17" s="375">
        <f t="shared" si="11"/>
        <v>6.5897435897435894E-2</v>
      </c>
      <c r="AT17" s="376">
        <f t="shared" si="1"/>
        <v>77.099999999999994</v>
      </c>
      <c r="AU17" s="571">
        <f t="shared" si="12"/>
        <v>0.6462393162393163</v>
      </c>
      <c r="AV17" s="510">
        <f t="shared" si="15"/>
        <v>756.1</v>
      </c>
      <c r="AW17" s="386">
        <f t="shared" si="13"/>
        <v>1170</v>
      </c>
      <c r="AX17" s="575">
        <f t="shared" si="16"/>
        <v>680.49</v>
      </c>
      <c r="AY17" s="380">
        <v>0.9</v>
      </c>
    </row>
    <row r="18" spans="24:51" x14ac:dyDescent="0.2">
      <c r="X18" s="79" t="s">
        <v>16</v>
      </c>
      <c r="Y18" s="79" t="s">
        <v>7</v>
      </c>
      <c r="Z18" s="373">
        <v>1237</v>
      </c>
      <c r="AA18" s="499">
        <v>2296</v>
      </c>
      <c r="AB18" s="374">
        <f t="shared" si="2"/>
        <v>0.53876306620209058</v>
      </c>
      <c r="AC18" s="401">
        <f t="shared" si="0"/>
        <v>0.26123693379790947</v>
      </c>
      <c r="AD18" s="570">
        <f t="shared" si="3"/>
        <v>599.80000000000018</v>
      </c>
      <c r="AE18" s="401">
        <f t="shared" si="4"/>
        <v>6.5309233449477366E-2</v>
      </c>
      <c r="AF18" s="570">
        <f t="shared" si="5"/>
        <v>149.95000000000005</v>
      </c>
      <c r="AG18" s="571">
        <f t="shared" si="6"/>
        <v>0.60407229965156795</v>
      </c>
      <c r="AH18" s="379">
        <f t="shared" si="7"/>
        <v>1386.95</v>
      </c>
      <c r="AI18" s="379">
        <f t="shared" si="8"/>
        <v>2296</v>
      </c>
      <c r="AJ18" s="572">
        <f t="shared" si="9"/>
        <v>1248.2550000000001</v>
      </c>
      <c r="AL18" s="79" t="s">
        <v>16</v>
      </c>
      <c r="AM18" s="79" t="s">
        <v>7</v>
      </c>
      <c r="AN18" s="508">
        <f>SUM('[2]117310'!$B$11:$B$18)+SUM('[2]117430'!$B$11:$B$18)+SUM('[2]117431'!$B$11:$B$18)</f>
        <v>1314</v>
      </c>
      <c r="AO18" s="508">
        <f>VLOOKUP(AL18,'PAP ref'!$C$11:$J$62,4,0)</f>
        <v>2455</v>
      </c>
      <c r="AP18" s="374">
        <f t="shared" si="10"/>
        <v>0.535234215885947</v>
      </c>
      <c r="AQ18" s="375">
        <f t="shared" si="17"/>
        <v>0.26476578411405305</v>
      </c>
      <c r="AR18" s="376">
        <f t="shared" si="14"/>
        <v>650.00000000000023</v>
      </c>
      <c r="AS18" s="375">
        <f t="shared" si="11"/>
        <v>7.9429735234215912E-2</v>
      </c>
      <c r="AT18" s="376">
        <f t="shared" si="1"/>
        <v>195.00000000000006</v>
      </c>
      <c r="AU18" s="571">
        <f t="shared" si="12"/>
        <v>0.61466395112016292</v>
      </c>
      <c r="AV18" s="510">
        <f t="shared" si="15"/>
        <v>1509</v>
      </c>
      <c r="AW18" s="386">
        <f t="shared" si="13"/>
        <v>2455</v>
      </c>
      <c r="AX18" s="575">
        <f t="shared" si="16"/>
        <v>1358.1000000000001</v>
      </c>
      <c r="AY18" s="380">
        <v>0.9</v>
      </c>
    </row>
    <row r="19" spans="24:51" x14ac:dyDescent="0.2">
      <c r="X19" s="79" t="s">
        <v>17</v>
      </c>
      <c r="Y19" s="79" t="s">
        <v>7</v>
      </c>
      <c r="Z19" s="373">
        <v>2185</v>
      </c>
      <c r="AA19" s="499">
        <v>3604</v>
      </c>
      <c r="AB19" s="374">
        <f t="shared" si="2"/>
        <v>0.60627081021087681</v>
      </c>
      <c r="AC19" s="401">
        <f t="shared" si="0"/>
        <v>0.19372918978912324</v>
      </c>
      <c r="AD19" s="570">
        <f t="shared" si="3"/>
        <v>698.20000000000016</v>
      </c>
      <c r="AE19" s="401">
        <f t="shared" si="4"/>
        <v>4.8432297447280809E-2</v>
      </c>
      <c r="AF19" s="570">
        <f t="shared" si="5"/>
        <v>174.55000000000004</v>
      </c>
      <c r="AG19" s="571">
        <f t="shared" si="6"/>
        <v>0.65470310765815765</v>
      </c>
      <c r="AH19" s="379">
        <f t="shared" si="7"/>
        <v>2359.5500000000002</v>
      </c>
      <c r="AI19" s="379">
        <f t="shared" si="8"/>
        <v>3604</v>
      </c>
      <c r="AJ19" s="572">
        <f t="shared" si="9"/>
        <v>2123.5950000000003</v>
      </c>
      <c r="AL19" s="79" t="s">
        <v>17</v>
      </c>
      <c r="AM19" s="79" t="s">
        <v>7</v>
      </c>
      <c r="AN19" s="508">
        <f>SUM('[2]117317'!$B$11:$B$18)+SUM('[2]117409'!$B$11:$B$18)+SUM('[2]117469'!$B$11:$B$18)</f>
        <v>2430</v>
      </c>
      <c r="AO19" s="508">
        <f>VLOOKUP(AL19,'PAP ref'!$C$11:$J$62,4,0)</f>
        <v>3806</v>
      </c>
      <c r="AP19" s="374">
        <f t="shared" si="10"/>
        <v>0.63846558066211245</v>
      </c>
      <c r="AQ19" s="375">
        <f t="shared" si="17"/>
        <v>0.16153441933788759</v>
      </c>
      <c r="AR19" s="376">
        <f t="shared" si="14"/>
        <v>614.80000000000018</v>
      </c>
      <c r="AS19" s="375">
        <f t="shared" si="11"/>
        <v>4.8460325801366277E-2</v>
      </c>
      <c r="AT19" s="376">
        <f t="shared" si="1"/>
        <v>184.44000000000005</v>
      </c>
      <c r="AU19" s="571">
        <f t="shared" si="12"/>
        <v>0.68692590646347873</v>
      </c>
      <c r="AV19" s="510">
        <f t="shared" si="15"/>
        <v>2614.44</v>
      </c>
      <c r="AW19" s="386">
        <f t="shared" si="13"/>
        <v>3806</v>
      </c>
      <c r="AX19" s="575">
        <f t="shared" si="16"/>
        <v>2352.9960000000001</v>
      </c>
      <c r="AY19" s="380">
        <v>0.9</v>
      </c>
    </row>
    <row r="20" spans="24:51" x14ac:dyDescent="0.2">
      <c r="X20" s="79" t="s">
        <v>18</v>
      </c>
      <c r="Y20" s="79" t="s">
        <v>7</v>
      </c>
      <c r="Z20" s="373">
        <v>2636</v>
      </c>
      <c r="AA20" s="499">
        <v>4777</v>
      </c>
      <c r="AB20" s="374">
        <f t="shared" si="2"/>
        <v>0.55181075989114503</v>
      </c>
      <c r="AC20" s="401">
        <f t="shared" si="0"/>
        <v>0.24818924010885501</v>
      </c>
      <c r="AD20" s="570">
        <f t="shared" si="3"/>
        <v>1185.6000000000004</v>
      </c>
      <c r="AE20" s="401">
        <f>IFERROR(AC20*0.25,"-")</f>
        <v>6.2047310027213753E-2</v>
      </c>
      <c r="AF20" s="570">
        <f t="shared" si="5"/>
        <v>296.40000000000009</v>
      </c>
      <c r="AG20" s="571">
        <f t="shared" si="6"/>
        <v>0.61385806991835878</v>
      </c>
      <c r="AH20" s="379">
        <f t="shared" si="7"/>
        <v>2932.4</v>
      </c>
      <c r="AI20" s="379">
        <f t="shared" si="8"/>
        <v>4777</v>
      </c>
      <c r="AJ20" s="572">
        <f t="shared" si="9"/>
        <v>2639.1600000000003</v>
      </c>
      <c r="AL20" s="79" t="s">
        <v>18</v>
      </c>
      <c r="AM20" s="79" t="s">
        <v>7</v>
      </c>
      <c r="AN20" s="508">
        <f>SUM('[2]117306'!$B$11:$B$18)+SUM('[2]117706'!$B$11:$B$18)+SUM('[2]117448'!$B$11:$B$18)+SUM('[2]117449'!$B$11:$B$18)+SUM('[2]117472'!$B$11:$B$18)</f>
        <v>2819</v>
      </c>
      <c r="AO20" s="508">
        <f>VLOOKUP(AL20,'PAP ref'!$C$11:$J$62,4,0)</f>
        <v>4845</v>
      </c>
      <c r="AP20" s="374">
        <f t="shared" si="10"/>
        <v>0.58183694530443753</v>
      </c>
      <c r="AQ20" s="375">
        <f t="shared" si="17"/>
        <v>0.21816305469556252</v>
      </c>
      <c r="AR20" s="376">
        <f t="shared" si="14"/>
        <v>1057.0000000000005</v>
      </c>
      <c r="AS20" s="375">
        <f t="shared" si="11"/>
        <v>6.5448916408668747E-2</v>
      </c>
      <c r="AT20" s="376">
        <f t="shared" si="1"/>
        <v>317.10000000000008</v>
      </c>
      <c r="AU20" s="571">
        <f t="shared" si="12"/>
        <v>0.64728586171310631</v>
      </c>
      <c r="AV20" s="510">
        <f t="shared" si="15"/>
        <v>3136.1</v>
      </c>
      <c r="AW20" s="386">
        <f t="shared" si="13"/>
        <v>4845</v>
      </c>
      <c r="AX20" s="575">
        <f t="shared" si="16"/>
        <v>2822.49</v>
      </c>
      <c r="AY20" s="380">
        <v>0.9</v>
      </c>
    </row>
    <row r="21" spans="24:51" x14ac:dyDescent="0.2">
      <c r="X21" s="79" t="s">
        <v>19</v>
      </c>
      <c r="Y21" s="79" t="s">
        <v>7</v>
      </c>
      <c r="Z21" s="373">
        <v>1521</v>
      </c>
      <c r="AA21" s="499">
        <v>2127</v>
      </c>
      <c r="AB21" s="374">
        <f t="shared" si="2"/>
        <v>0.71509167842031029</v>
      </c>
      <c r="AC21" s="401">
        <f t="shared" si="0"/>
        <v>8.4908321579689749E-2</v>
      </c>
      <c r="AD21" s="570">
        <f t="shared" si="3"/>
        <v>180.60000000000011</v>
      </c>
      <c r="AE21" s="401">
        <f t="shared" si="4"/>
        <v>2.1227080394922437E-2</v>
      </c>
      <c r="AF21" s="570">
        <f t="shared" si="5"/>
        <v>45.150000000000027</v>
      </c>
      <c r="AG21" s="571">
        <f t="shared" si="6"/>
        <v>0.73631875881523268</v>
      </c>
      <c r="AH21" s="379">
        <f t="shared" si="7"/>
        <v>1566.1499999999999</v>
      </c>
      <c r="AI21" s="379">
        <f t="shared" si="8"/>
        <v>2127</v>
      </c>
      <c r="AJ21" s="572">
        <f t="shared" si="9"/>
        <v>1409.5349999999999</v>
      </c>
      <c r="AL21" s="79" t="s">
        <v>19</v>
      </c>
      <c r="AM21" s="79" t="s">
        <v>7</v>
      </c>
      <c r="AN21" s="508">
        <f>SUM('[2]117308'!$B$11:$B$18)+SUM('[2]117454'!$B$11:$B$18)</f>
        <v>1567</v>
      </c>
      <c r="AO21" s="508">
        <f>VLOOKUP(AL21,'PAP ref'!$C$11:$J$62,4,0)</f>
        <v>2184</v>
      </c>
      <c r="AP21" s="374">
        <f t="shared" si="10"/>
        <v>0.7174908424908425</v>
      </c>
      <c r="AQ21" s="375">
        <f t="shared" si="17"/>
        <v>8.2509157509157549E-2</v>
      </c>
      <c r="AR21" s="376">
        <f t="shared" si="14"/>
        <v>180.20000000000007</v>
      </c>
      <c r="AS21" s="375">
        <f t="shared" si="11"/>
        <v>2.4752747252747263E-2</v>
      </c>
      <c r="AT21" s="376">
        <f t="shared" si="1"/>
        <v>54.060000000000024</v>
      </c>
      <c r="AU21" s="571">
        <f t="shared" si="12"/>
        <v>0.74224358974358973</v>
      </c>
      <c r="AV21" s="510">
        <f t="shared" si="15"/>
        <v>1621.06</v>
      </c>
      <c r="AW21" s="386">
        <f t="shared" si="13"/>
        <v>2184</v>
      </c>
      <c r="AX21" s="575">
        <f t="shared" si="16"/>
        <v>1458.954</v>
      </c>
      <c r="AY21" s="380">
        <v>0.9</v>
      </c>
    </row>
    <row r="22" spans="24:51" x14ac:dyDescent="0.2">
      <c r="X22" s="79" t="s">
        <v>20</v>
      </c>
      <c r="Y22" s="79" t="s">
        <v>7</v>
      </c>
      <c r="Z22" s="373">
        <v>629</v>
      </c>
      <c r="AA22" s="499">
        <v>1316</v>
      </c>
      <c r="AB22" s="374">
        <f t="shared" si="2"/>
        <v>0.47796352583586627</v>
      </c>
      <c r="AC22" s="401">
        <f t="shared" si="0"/>
        <v>0.32203647416413378</v>
      </c>
      <c r="AD22" s="570">
        <f t="shared" si="3"/>
        <v>423.80000000000007</v>
      </c>
      <c r="AE22" s="401">
        <f t="shared" si="4"/>
        <v>8.0509118541033445E-2</v>
      </c>
      <c r="AF22" s="570">
        <f t="shared" si="5"/>
        <v>105.95000000000002</v>
      </c>
      <c r="AG22" s="571">
        <f t="shared" si="6"/>
        <v>0.5584726443768997</v>
      </c>
      <c r="AH22" s="379">
        <f t="shared" si="7"/>
        <v>734.95</v>
      </c>
      <c r="AI22" s="379">
        <f t="shared" si="8"/>
        <v>1316</v>
      </c>
      <c r="AJ22" s="572">
        <f t="shared" si="9"/>
        <v>661.45500000000004</v>
      </c>
      <c r="AL22" s="79" t="s">
        <v>20</v>
      </c>
      <c r="AM22" s="79" t="s">
        <v>7</v>
      </c>
      <c r="AN22" s="508">
        <f>SUM('[2]117319'!$B$11:$B$18)</f>
        <v>713</v>
      </c>
      <c r="AO22" s="508">
        <f>VLOOKUP(AL22,'PAP ref'!$C$11:$J$62,4,0)</f>
        <v>1316</v>
      </c>
      <c r="AP22" s="374">
        <f t="shared" si="10"/>
        <v>0.54179331306990886</v>
      </c>
      <c r="AQ22" s="375">
        <f t="shared" si="17"/>
        <v>0.25820668693009119</v>
      </c>
      <c r="AR22" s="376">
        <f t="shared" si="14"/>
        <v>339.8</v>
      </c>
      <c r="AS22" s="375">
        <f t="shared" si="11"/>
        <v>7.7462006079027354E-2</v>
      </c>
      <c r="AT22" s="376">
        <f t="shared" si="1"/>
        <v>101.94</v>
      </c>
      <c r="AU22" s="571">
        <f t="shared" si="12"/>
        <v>0.61925531914893617</v>
      </c>
      <c r="AV22" s="510">
        <f t="shared" si="15"/>
        <v>814.94</v>
      </c>
      <c r="AW22" s="386">
        <f t="shared" si="13"/>
        <v>1316</v>
      </c>
      <c r="AX22" s="575">
        <f t="shared" si="16"/>
        <v>733.44600000000003</v>
      </c>
      <c r="AY22" s="380">
        <v>0.9</v>
      </c>
    </row>
    <row r="23" spans="24:51" x14ac:dyDescent="0.2">
      <c r="X23" s="79" t="s">
        <v>21</v>
      </c>
      <c r="Y23" s="79" t="s">
        <v>7</v>
      </c>
      <c r="Z23" s="373">
        <v>669</v>
      </c>
      <c r="AA23" s="499">
        <v>1205</v>
      </c>
      <c r="AB23" s="374">
        <f t="shared" si="2"/>
        <v>0.55518672199170127</v>
      </c>
      <c r="AC23" s="401">
        <f t="shared" si="0"/>
        <v>0.24481327800829877</v>
      </c>
      <c r="AD23" s="570">
        <f t="shared" si="3"/>
        <v>295</v>
      </c>
      <c r="AE23" s="401">
        <f t="shared" si="4"/>
        <v>6.1203319502074693E-2</v>
      </c>
      <c r="AF23" s="570">
        <f t="shared" si="5"/>
        <v>73.75</v>
      </c>
      <c r="AG23" s="571">
        <f t="shared" si="6"/>
        <v>0.61639004149377596</v>
      </c>
      <c r="AH23" s="379">
        <f t="shared" si="7"/>
        <v>742.75</v>
      </c>
      <c r="AI23" s="379">
        <f t="shared" si="8"/>
        <v>1205</v>
      </c>
      <c r="AJ23" s="572">
        <f t="shared" si="9"/>
        <v>668.47500000000002</v>
      </c>
      <c r="AL23" s="79" t="s">
        <v>21</v>
      </c>
      <c r="AM23" s="79" t="s">
        <v>7</v>
      </c>
      <c r="AN23" s="508">
        <f>SUM('[2]117455'!$B$11:$B$18)</f>
        <v>777</v>
      </c>
      <c r="AO23" s="508">
        <f>VLOOKUP(AL23,'PAP ref'!$C$11:$J$62,4,0)</f>
        <v>1267</v>
      </c>
      <c r="AP23" s="374">
        <f t="shared" si="10"/>
        <v>0.61325966850828728</v>
      </c>
      <c r="AQ23" s="375">
        <f t="shared" si="17"/>
        <v>0.18674033149171276</v>
      </c>
      <c r="AR23" s="376">
        <f t="shared" si="14"/>
        <v>236.60000000000008</v>
      </c>
      <c r="AS23" s="375">
        <f t="shared" si="11"/>
        <v>5.602209944751383E-2</v>
      </c>
      <c r="AT23" s="376">
        <f t="shared" si="1"/>
        <v>70.980000000000018</v>
      </c>
      <c r="AU23" s="571">
        <f t="shared" si="12"/>
        <v>0.66928176795580108</v>
      </c>
      <c r="AV23" s="510">
        <f t="shared" si="15"/>
        <v>847.98</v>
      </c>
      <c r="AW23" s="386">
        <f t="shared" si="13"/>
        <v>1267</v>
      </c>
      <c r="AX23" s="575">
        <f t="shared" si="16"/>
        <v>763.18200000000002</v>
      </c>
      <c r="AY23" s="380">
        <v>0.9</v>
      </c>
    </row>
    <row r="24" spans="24:51" x14ac:dyDescent="0.2">
      <c r="X24" s="79" t="s">
        <v>22</v>
      </c>
      <c r="Y24" s="79" t="s">
        <v>7</v>
      </c>
      <c r="Z24" s="373">
        <v>673</v>
      </c>
      <c r="AA24" s="499">
        <v>1498</v>
      </c>
      <c r="AB24" s="374">
        <f t="shared" si="2"/>
        <v>0.4492656875834446</v>
      </c>
      <c r="AC24" s="401">
        <f t="shared" si="0"/>
        <v>0.35073431241655545</v>
      </c>
      <c r="AD24" s="570">
        <f t="shared" si="3"/>
        <v>525.40000000000009</v>
      </c>
      <c r="AE24" s="401">
        <f t="shared" si="4"/>
        <v>8.7683578104138862E-2</v>
      </c>
      <c r="AF24" s="570">
        <f t="shared" si="5"/>
        <v>131.35000000000002</v>
      </c>
      <c r="AG24" s="571">
        <f t="shared" si="6"/>
        <v>0.5369492656875835</v>
      </c>
      <c r="AH24" s="379">
        <f t="shared" si="7"/>
        <v>804.35000000000014</v>
      </c>
      <c r="AI24" s="379">
        <f t="shared" si="8"/>
        <v>1498</v>
      </c>
      <c r="AJ24" s="572">
        <f t="shared" si="9"/>
        <v>723.91500000000019</v>
      </c>
      <c r="AL24" s="79" t="s">
        <v>22</v>
      </c>
      <c r="AM24" s="79" t="s">
        <v>7</v>
      </c>
      <c r="AN24" s="508">
        <f>SUM('[2]117315'!$B$11:$B$18)+SUM('[2]117458'!$B$11:$B$18)</f>
        <v>719</v>
      </c>
      <c r="AO24" s="508">
        <f>VLOOKUP(AL24,'PAP ref'!$C$11:$J$62,4,0)</f>
        <v>1582</v>
      </c>
      <c r="AP24" s="374">
        <f t="shared" si="10"/>
        <v>0.45448798988621997</v>
      </c>
      <c r="AQ24" s="375">
        <f t="shared" si="17"/>
        <v>0.34551201011378008</v>
      </c>
      <c r="AR24" s="376">
        <f t="shared" si="14"/>
        <v>546.60000000000014</v>
      </c>
      <c r="AS24" s="375">
        <f t="shared" si="11"/>
        <v>0.10365360303413403</v>
      </c>
      <c r="AT24" s="376">
        <f t="shared" si="1"/>
        <v>163.98000000000002</v>
      </c>
      <c r="AU24" s="571">
        <f t="shared" si="12"/>
        <v>0.55814159292035403</v>
      </c>
      <c r="AV24" s="510">
        <f t="shared" si="15"/>
        <v>882.98</v>
      </c>
      <c r="AW24" s="386">
        <f t="shared" si="13"/>
        <v>1582</v>
      </c>
      <c r="AX24" s="575">
        <f t="shared" si="16"/>
        <v>794.68200000000002</v>
      </c>
      <c r="AY24" s="380">
        <v>0.9</v>
      </c>
    </row>
    <row r="25" spans="24:51" x14ac:dyDescent="0.2">
      <c r="X25" s="79" t="s">
        <v>23</v>
      </c>
      <c r="Y25" s="79" t="s">
        <v>7</v>
      </c>
      <c r="Z25" s="373">
        <v>1446</v>
      </c>
      <c r="AA25" s="499">
        <v>2501</v>
      </c>
      <c r="AB25" s="374">
        <f t="shared" si="2"/>
        <v>0.57816873250699719</v>
      </c>
      <c r="AC25" s="401">
        <f t="shared" si="0"/>
        <v>0.22183126749300286</v>
      </c>
      <c r="AD25" s="570">
        <f>IFERROR(AC25*AA25,"-")</f>
        <v>554.80000000000018</v>
      </c>
      <c r="AE25" s="401">
        <f t="shared" si="4"/>
        <v>5.5457816873250715E-2</v>
      </c>
      <c r="AF25" s="570">
        <f t="shared" si="5"/>
        <v>138.70000000000005</v>
      </c>
      <c r="AG25" s="571">
        <f t="shared" si="6"/>
        <v>0.63362654938024787</v>
      </c>
      <c r="AH25" s="379">
        <f t="shared" si="7"/>
        <v>1584.6999999999998</v>
      </c>
      <c r="AI25" s="379">
        <f t="shared" si="8"/>
        <v>2501</v>
      </c>
      <c r="AJ25" s="572">
        <f t="shared" si="9"/>
        <v>1426.2299999999998</v>
      </c>
      <c r="AL25" s="79" t="s">
        <v>23</v>
      </c>
      <c r="AM25" s="79" t="s">
        <v>7</v>
      </c>
      <c r="AN25" s="508">
        <f>SUM('[2]117326'!$B$11:$B$18)+SUM('[2]117426'!$B$11:$B$18)</f>
        <v>1740</v>
      </c>
      <c r="AO25" s="508">
        <f>VLOOKUP(AL25,'PAP ref'!$C$11:$J$62,4,0)</f>
        <v>2600</v>
      </c>
      <c r="AP25" s="374">
        <f t="shared" si="10"/>
        <v>0.66923076923076918</v>
      </c>
      <c r="AQ25" s="375">
        <f t="shared" si="17"/>
        <v>0.13076923076923086</v>
      </c>
      <c r="AR25" s="376">
        <f t="shared" si="14"/>
        <v>340.00000000000023</v>
      </c>
      <c r="AS25" s="375">
        <f t="shared" si="11"/>
        <v>3.9230769230769257E-2</v>
      </c>
      <c r="AT25" s="376">
        <f t="shared" ref="AT25" si="18">IFERROR(AS25*AO25,"-")</f>
        <v>102.00000000000007</v>
      </c>
      <c r="AU25" s="571">
        <f t="shared" si="12"/>
        <v>0.70846153846153848</v>
      </c>
      <c r="AV25" s="510">
        <f t="shared" si="15"/>
        <v>1842</v>
      </c>
      <c r="AW25" s="386">
        <f t="shared" si="13"/>
        <v>2600</v>
      </c>
      <c r="AX25" s="575">
        <f t="shared" si="16"/>
        <v>1657.8</v>
      </c>
      <c r="AY25" s="380">
        <v>0.9</v>
      </c>
    </row>
    <row r="26" spans="24:51" x14ac:dyDescent="0.2">
      <c r="X26" s="80"/>
      <c r="Y26" s="90" t="s">
        <v>7</v>
      </c>
      <c r="Z26" s="576"/>
      <c r="AA26" s="576"/>
      <c r="AB26" s="577"/>
      <c r="AC26" s="578"/>
      <c r="AD26" s="578"/>
      <c r="AE26" s="579"/>
      <c r="AF26" s="579"/>
      <c r="AG26" s="579"/>
      <c r="AH26" s="580"/>
      <c r="AI26" s="580"/>
      <c r="AJ26" s="580"/>
      <c r="AL26" s="343"/>
      <c r="AM26" s="344" t="s">
        <v>7</v>
      </c>
      <c r="AN26" s="512">
        <f>SUM(AN9:AN25)</f>
        <v>35153</v>
      </c>
      <c r="AO26" s="512">
        <f>SUM(AO9:AO25)</f>
        <v>69772</v>
      </c>
      <c r="AP26" s="384"/>
      <c r="AQ26" s="581"/>
      <c r="AR26" s="581"/>
      <c r="AS26" s="385"/>
      <c r="AT26" s="385"/>
      <c r="AU26" s="385"/>
      <c r="AV26" s="394"/>
      <c r="AW26" s="394"/>
      <c r="AX26" s="394"/>
      <c r="AY26" s="394"/>
    </row>
    <row r="27" spans="24:51" x14ac:dyDescent="0.2">
      <c r="X27" s="79" t="s">
        <v>24</v>
      </c>
      <c r="Y27" s="79" t="s">
        <v>25</v>
      </c>
      <c r="Z27" s="373">
        <v>787</v>
      </c>
      <c r="AA27" s="499">
        <v>1496</v>
      </c>
      <c r="AB27" s="374">
        <f t="shared" si="2"/>
        <v>0.52606951871657759</v>
      </c>
      <c r="AC27" s="401">
        <f t="shared" ref="AC27:AC33" si="19">IF(AB27&lt;$AD$3,$AD$3-AB27,"-")</f>
        <v>0.27393048128342246</v>
      </c>
      <c r="AD27" s="570">
        <f>IFERROR(AC27*AA27,"-")</f>
        <v>409.8</v>
      </c>
      <c r="AE27" s="401">
        <f t="shared" si="4"/>
        <v>6.8482620320855614E-2</v>
      </c>
      <c r="AF27" s="570">
        <f t="shared" si="5"/>
        <v>102.45</v>
      </c>
      <c r="AG27" s="571">
        <f t="shared" si="6"/>
        <v>0.5945521390374332</v>
      </c>
      <c r="AH27" s="379">
        <f t="shared" si="7"/>
        <v>889.45</v>
      </c>
      <c r="AI27" s="379">
        <f t="shared" si="8"/>
        <v>1496</v>
      </c>
      <c r="AJ27" s="572">
        <f t="shared" si="9"/>
        <v>800.50500000000011</v>
      </c>
      <c r="AL27" s="79" t="s">
        <v>24</v>
      </c>
      <c r="AM27" s="79" t="s">
        <v>25</v>
      </c>
      <c r="AN27" s="508">
        <v>789</v>
      </c>
      <c r="AO27" s="508">
        <f>VLOOKUP(AL27,'PAP ref'!$C$11:$J$62,4,0)</f>
        <v>1616</v>
      </c>
      <c r="AP27" s="374">
        <f t="shared" ref="AP27:AP33" si="20">AN27/AO27</f>
        <v>0.48824257425742573</v>
      </c>
      <c r="AQ27" s="375">
        <f>IF(AP27&lt;$AR$3,$AR$3-AP27,"-")</f>
        <v>0.31175742574257431</v>
      </c>
      <c r="AR27" s="376">
        <f>IFERROR(AQ27*AO27,"-")</f>
        <v>503.80000000000007</v>
      </c>
      <c r="AS27" s="375">
        <f>IFERROR(AQ27*0.3,"-")</f>
        <v>9.3527227722772291E-2</v>
      </c>
      <c r="AT27" s="376">
        <f>IFERROR(AS27*AO27,"-")</f>
        <v>151.14000000000001</v>
      </c>
      <c r="AU27" s="571">
        <f t="shared" ref="AU27:AU33" si="21">IFERROR((AS27+AP27),IF(AP27&gt;=$AD$3,$AD$3))</f>
        <v>0.58176980198019801</v>
      </c>
      <c r="AV27" s="510">
        <f t="shared" si="15"/>
        <v>940.14</v>
      </c>
      <c r="AW27" s="386">
        <f t="shared" ref="AW27:AW33" si="22">AO27</f>
        <v>1616</v>
      </c>
      <c r="AX27" s="575">
        <f>IFERROR(AV27*0.9,"-")</f>
        <v>846.12599999999998</v>
      </c>
      <c r="AY27" s="380">
        <v>0.9</v>
      </c>
    </row>
    <row r="28" spans="24:51" x14ac:dyDescent="0.2">
      <c r="X28" s="79" t="s">
        <v>26</v>
      </c>
      <c r="Y28" s="79" t="s">
        <v>25</v>
      </c>
      <c r="Z28" s="373">
        <v>289</v>
      </c>
      <c r="AA28" s="499">
        <v>733</v>
      </c>
      <c r="AB28" s="374">
        <f t="shared" si="2"/>
        <v>0.39427012278308321</v>
      </c>
      <c r="AC28" s="401">
        <f t="shared" si="19"/>
        <v>0.40572987721691683</v>
      </c>
      <c r="AD28" s="570">
        <f t="shared" ref="AD28:AD41" si="23">IFERROR(AC28*AA28,"-")</f>
        <v>297.40000000000003</v>
      </c>
      <c r="AE28" s="401">
        <f t="shared" si="4"/>
        <v>0.10143246930422921</v>
      </c>
      <c r="AF28" s="570">
        <f t="shared" si="5"/>
        <v>74.350000000000009</v>
      </c>
      <c r="AG28" s="571">
        <f t="shared" si="6"/>
        <v>0.49570259208731243</v>
      </c>
      <c r="AH28" s="379">
        <f t="shared" si="7"/>
        <v>363.35</v>
      </c>
      <c r="AI28" s="379">
        <f t="shared" si="8"/>
        <v>733</v>
      </c>
      <c r="AJ28" s="572">
        <f t="shared" si="9"/>
        <v>327.01500000000004</v>
      </c>
      <c r="AL28" s="79" t="s">
        <v>26</v>
      </c>
      <c r="AM28" s="79" t="s">
        <v>25</v>
      </c>
      <c r="AN28" s="508">
        <v>299</v>
      </c>
      <c r="AO28" s="508">
        <f>VLOOKUP(AL28,'PAP ref'!$C$11:$J$62,4,0)</f>
        <v>772</v>
      </c>
      <c r="AP28" s="374">
        <f t="shared" si="20"/>
        <v>0.38730569948186527</v>
      </c>
      <c r="AQ28" s="375">
        <f t="shared" ref="AQ28:AQ32" si="24">IF(AP28&lt;$AR$3,$AR$3-AP28,"-")</f>
        <v>0.41269430051813477</v>
      </c>
      <c r="AR28" s="376">
        <f>IFERROR(AQ28*AO28,"-")</f>
        <v>318.60000000000002</v>
      </c>
      <c r="AS28" s="375">
        <f t="shared" ref="AS28:AS33" si="25">IFERROR(AQ28*0.3,"-")</f>
        <v>0.12380829015544043</v>
      </c>
      <c r="AT28" s="376">
        <f>IFERROR(AS28*AO28,"-")</f>
        <v>95.580000000000013</v>
      </c>
      <c r="AU28" s="571">
        <f t="shared" si="21"/>
        <v>0.5111139896373057</v>
      </c>
      <c r="AV28" s="510">
        <f t="shared" si="15"/>
        <v>394.58000000000004</v>
      </c>
      <c r="AW28" s="386">
        <f t="shared" si="22"/>
        <v>772</v>
      </c>
      <c r="AX28" s="575">
        <f t="shared" ref="AX28:AX41" si="26">IFERROR(AV28*0.9,"-")</f>
        <v>355.12200000000007</v>
      </c>
      <c r="AY28" s="380">
        <v>0.9</v>
      </c>
    </row>
    <row r="29" spans="24:51" x14ac:dyDescent="0.2">
      <c r="X29" s="79" t="s">
        <v>27</v>
      </c>
      <c r="Y29" s="79" t="s">
        <v>25</v>
      </c>
      <c r="Z29" s="373">
        <v>968</v>
      </c>
      <c r="AA29" s="499">
        <v>1495</v>
      </c>
      <c r="AB29" s="374">
        <f t="shared" si="2"/>
        <v>0.64749163879598659</v>
      </c>
      <c r="AC29" s="401">
        <f t="shared" si="19"/>
        <v>0.15250836120401345</v>
      </c>
      <c r="AD29" s="570">
        <f t="shared" si="23"/>
        <v>228.00000000000011</v>
      </c>
      <c r="AE29" s="401">
        <f t="shared" si="4"/>
        <v>3.8127090301003363E-2</v>
      </c>
      <c r="AF29" s="570">
        <f t="shared" si="5"/>
        <v>57.000000000000028</v>
      </c>
      <c r="AG29" s="571">
        <f t="shared" si="6"/>
        <v>0.68561872909698995</v>
      </c>
      <c r="AH29" s="379">
        <f t="shared" si="7"/>
        <v>1025</v>
      </c>
      <c r="AI29" s="379">
        <f t="shared" si="8"/>
        <v>1495</v>
      </c>
      <c r="AJ29" s="572">
        <f t="shared" si="9"/>
        <v>922.5</v>
      </c>
      <c r="AL29" s="79" t="s">
        <v>27</v>
      </c>
      <c r="AM29" s="79" t="s">
        <v>25</v>
      </c>
      <c r="AN29" s="508">
        <v>989</v>
      </c>
      <c r="AO29" s="508">
        <f>VLOOKUP(AL29,'PAP ref'!$C$11:$J$62,4,0)</f>
        <v>1595</v>
      </c>
      <c r="AP29" s="374">
        <f t="shared" si="20"/>
        <v>0.62006269592476493</v>
      </c>
      <c r="AQ29" s="375">
        <f t="shared" si="24"/>
        <v>0.17993730407523512</v>
      </c>
      <c r="AR29" s="376">
        <f t="shared" ref="AR29:AR33" si="27">IFERROR(AQ29*AO29,"-")</f>
        <v>287</v>
      </c>
      <c r="AS29" s="375">
        <f t="shared" si="25"/>
        <v>5.3981191222570536E-2</v>
      </c>
      <c r="AT29" s="376">
        <f t="shared" ref="AT29:AT33" si="28">IFERROR(AS29*AO29,"-")</f>
        <v>86.100000000000009</v>
      </c>
      <c r="AU29" s="571">
        <f t="shared" si="21"/>
        <v>0.67404388714733543</v>
      </c>
      <c r="AV29" s="510">
        <f t="shared" si="15"/>
        <v>1075.0999999999999</v>
      </c>
      <c r="AW29" s="386">
        <f t="shared" si="22"/>
        <v>1595</v>
      </c>
      <c r="AX29" s="575">
        <f t="shared" si="26"/>
        <v>967.58999999999992</v>
      </c>
      <c r="AY29" s="380">
        <v>0.9</v>
      </c>
    </row>
    <row r="30" spans="24:51" x14ac:dyDescent="0.2">
      <c r="X30" s="79" t="s">
        <v>28</v>
      </c>
      <c r="Y30" s="79" t="s">
        <v>25</v>
      </c>
      <c r="Z30" s="373">
        <v>976</v>
      </c>
      <c r="AA30" s="499">
        <v>1369</v>
      </c>
      <c r="AB30" s="374">
        <f t="shared" si="2"/>
        <v>0.71292914536157781</v>
      </c>
      <c r="AC30" s="401">
        <f t="shared" si="19"/>
        <v>8.7070854638422235E-2</v>
      </c>
      <c r="AD30" s="570">
        <f t="shared" si="23"/>
        <v>119.20000000000005</v>
      </c>
      <c r="AE30" s="401">
        <f t="shared" si="4"/>
        <v>2.1767713659605559E-2</v>
      </c>
      <c r="AF30" s="570">
        <f t="shared" si="5"/>
        <v>29.800000000000011</v>
      </c>
      <c r="AG30" s="571">
        <f t="shared" si="6"/>
        <v>0.73469685902118331</v>
      </c>
      <c r="AH30" s="379">
        <f t="shared" si="7"/>
        <v>1005.8</v>
      </c>
      <c r="AI30" s="379">
        <f t="shared" si="8"/>
        <v>1369</v>
      </c>
      <c r="AJ30" s="572">
        <f t="shared" si="9"/>
        <v>905.22</v>
      </c>
      <c r="AL30" s="79" t="s">
        <v>28</v>
      </c>
      <c r="AM30" s="79" t="s">
        <v>25</v>
      </c>
      <c r="AN30" s="508">
        <v>948</v>
      </c>
      <c r="AO30" s="508">
        <f>VLOOKUP(AL30,'PAP ref'!$C$11:$J$62,4,0)</f>
        <v>1418</v>
      </c>
      <c r="AP30" s="374">
        <f t="shared" si="20"/>
        <v>0.66854724964739065</v>
      </c>
      <c r="AQ30" s="375">
        <f t="shared" si="24"/>
        <v>0.13145275035260939</v>
      </c>
      <c r="AR30" s="376">
        <f t="shared" si="27"/>
        <v>186.40000000000012</v>
      </c>
      <c r="AS30" s="375">
        <f t="shared" si="25"/>
        <v>3.9435825105782814E-2</v>
      </c>
      <c r="AT30" s="376">
        <f t="shared" si="28"/>
        <v>55.92000000000003</v>
      </c>
      <c r="AU30" s="571">
        <f t="shared" si="21"/>
        <v>0.70798307475317346</v>
      </c>
      <c r="AV30" s="510">
        <f t="shared" si="15"/>
        <v>1003.9200000000001</v>
      </c>
      <c r="AW30" s="386">
        <f t="shared" si="22"/>
        <v>1418</v>
      </c>
      <c r="AX30" s="575">
        <f t="shared" si="26"/>
        <v>903.52800000000013</v>
      </c>
      <c r="AY30" s="380">
        <v>0.9</v>
      </c>
    </row>
    <row r="31" spans="24:51" x14ac:dyDescent="0.2">
      <c r="X31" s="79" t="s">
        <v>29</v>
      </c>
      <c r="Y31" s="79" t="s">
        <v>25</v>
      </c>
      <c r="Z31" s="373">
        <v>26</v>
      </c>
      <c r="AA31" s="499">
        <v>32</v>
      </c>
      <c r="AB31" s="374">
        <f t="shared" si="2"/>
        <v>0.8125</v>
      </c>
      <c r="AC31" s="401" t="str">
        <f t="shared" ref="AC31" si="29">IF(AB31&lt;$AD$3,$AD$3-AB31,"-")</f>
        <v>-</v>
      </c>
      <c r="AD31" s="570" t="str">
        <f t="shared" ref="AD31" si="30">IFERROR(AC31*AA31,"-")</f>
        <v>-</v>
      </c>
      <c r="AE31" s="401" t="str">
        <f t="shared" ref="AE31" si="31">IFERROR(AC31*0.25,"-")</f>
        <v>-</v>
      </c>
      <c r="AF31" s="570" t="str">
        <f t="shared" ref="AF31" si="32">IFERROR(AE31*AA31,"-")</f>
        <v>-</v>
      </c>
      <c r="AG31" s="571">
        <f t="shared" ref="AG31" si="33">IFERROR((AE31+AB31),IF(AB31&gt;=$AD$3,$AD$3))</f>
        <v>0.8</v>
      </c>
      <c r="AH31" s="379">
        <f t="shared" ref="AH31" si="34">AG31*AA31</f>
        <v>25.6</v>
      </c>
      <c r="AI31" s="379">
        <f t="shared" ref="AI31" si="35">AA31</f>
        <v>32</v>
      </c>
      <c r="AJ31" s="572">
        <f t="shared" si="9"/>
        <v>23.040000000000003</v>
      </c>
      <c r="AL31" s="79" t="s">
        <v>29</v>
      </c>
      <c r="AM31" s="79" t="s">
        <v>25</v>
      </c>
      <c r="AN31" s="508">
        <v>22</v>
      </c>
      <c r="AO31" s="508">
        <v>5</v>
      </c>
      <c r="AP31" s="374">
        <v>1</v>
      </c>
      <c r="AQ31" s="375" t="str">
        <f t="shared" si="24"/>
        <v>-</v>
      </c>
      <c r="AR31" s="376" t="str">
        <f t="shared" si="27"/>
        <v>-</v>
      </c>
      <c r="AS31" s="375" t="str">
        <f t="shared" si="25"/>
        <v>-</v>
      </c>
      <c r="AT31" s="376" t="str">
        <f t="shared" si="28"/>
        <v>-</v>
      </c>
      <c r="AU31" s="571">
        <f t="shared" si="21"/>
        <v>0.8</v>
      </c>
      <c r="AV31" s="510" t="str">
        <f t="shared" si="15"/>
        <v>-</v>
      </c>
      <c r="AW31" s="386">
        <f t="shared" si="22"/>
        <v>5</v>
      </c>
      <c r="AX31" s="575" t="str">
        <f t="shared" si="26"/>
        <v>-</v>
      </c>
      <c r="AY31" s="380">
        <v>0.9</v>
      </c>
    </row>
    <row r="32" spans="24:51" x14ac:dyDescent="0.2">
      <c r="X32" s="79" t="s">
        <v>30</v>
      </c>
      <c r="Y32" s="79" t="s">
        <v>25</v>
      </c>
      <c r="Z32" s="373">
        <v>826</v>
      </c>
      <c r="AA32" s="499">
        <v>1576</v>
      </c>
      <c r="AB32" s="374">
        <f t="shared" si="2"/>
        <v>0.5241116751269036</v>
      </c>
      <c r="AC32" s="401">
        <f t="shared" si="19"/>
        <v>0.27588832487309645</v>
      </c>
      <c r="AD32" s="570">
        <f t="shared" si="23"/>
        <v>434.8</v>
      </c>
      <c r="AE32" s="401">
        <f t="shared" si="4"/>
        <v>6.8972081218274112E-2</v>
      </c>
      <c r="AF32" s="570">
        <f t="shared" si="5"/>
        <v>108.7</v>
      </c>
      <c r="AG32" s="571">
        <f t="shared" si="6"/>
        <v>0.59308375634517774</v>
      </c>
      <c r="AH32" s="379">
        <f t="shared" si="7"/>
        <v>934.70000000000016</v>
      </c>
      <c r="AI32" s="379">
        <f t="shared" si="8"/>
        <v>1576</v>
      </c>
      <c r="AJ32" s="572">
        <f t="shared" si="9"/>
        <v>841.23000000000013</v>
      </c>
      <c r="AL32" s="79" t="s">
        <v>30</v>
      </c>
      <c r="AM32" s="79" t="s">
        <v>25</v>
      </c>
      <c r="AN32" s="508">
        <v>888</v>
      </c>
      <c r="AO32" s="508">
        <f>VLOOKUP(AL32,'PAP ref'!$C$11:$J$62,4,0)</f>
        <v>1648</v>
      </c>
      <c r="AP32" s="374">
        <f t="shared" si="20"/>
        <v>0.53883495145631066</v>
      </c>
      <c r="AQ32" s="375">
        <f t="shared" si="24"/>
        <v>0.26116504854368938</v>
      </c>
      <c r="AR32" s="376">
        <f t="shared" si="27"/>
        <v>430.40000000000009</v>
      </c>
      <c r="AS32" s="375">
        <f t="shared" si="25"/>
        <v>7.8349514563106806E-2</v>
      </c>
      <c r="AT32" s="376">
        <f t="shared" si="28"/>
        <v>129.12</v>
      </c>
      <c r="AU32" s="571">
        <f t="shared" si="21"/>
        <v>0.61718446601941745</v>
      </c>
      <c r="AV32" s="510">
        <f t="shared" si="15"/>
        <v>1017.12</v>
      </c>
      <c r="AW32" s="386">
        <f t="shared" si="22"/>
        <v>1648</v>
      </c>
      <c r="AX32" s="575">
        <f t="shared" si="26"/>
        <v>915.40800000000002</v>
      </c>
      <c r="AY32" s="380">
        <v>0.9</v>
      </c>
    </row>
    <row r="33" spans="24:51" x14ac:dyDescent="0.2">
      <c r="X33" s="79" t="s">
        <v>31</v>
      </c>
      <c r="Y33" s="79" t="s">
        <v>25</v>
      </c>
      <c r="Z33" s="373">
        <v>774</v>
      </c>
      <c r="AA33" s="499">
        <v>1602</v>
      </c>
      <c r="AB33" s="374">
        <f t="shared" si="2"/>
        <v>0.48314606741573035</v>
      </c>
      <c r="AC33" s="401">
        <f t="shared" si="19"/>
        <v>0.31685393258426969</v>
      </c>
      <c r="AD33" s="570">
        <f t="shared" si="23"/>
        <v>507.6</v>
      </c>
      <c r="AE33" s="401">
        <f t="shared" si="4"/>
        <v>7.9213483146067423E-2</v>
      </c>
      <c r="AF33" s="570">
        <f t="shared" si="5"/>
        <v>126.9</v>
      </c>
      <c r="AG33" s="571">
        <f t="shared" si="6"/>
        <v>0.56235955056179776</v>
      </c>
      <c r="AH33" s="379">
        <f t="shared" si="7"/>
        <v>900.9</v>
      </c>
      <c r="AI33" s="379">
        <f t="shared" si="8"/>
        <v>1602</v>
      </c>
      <c r="AJ33" s="572">
        <f t="shared" si="9"/>
        <v>810.81</v>
      </c>
      <c r="AL33" s="79" t="s">
        <v>31</v>
      </c>
      <c r="AM33" s="79" t="s">
        <v>25</v>
      </c>
      <c r="AN33" s="508">
        <v>879</v>
      </c>
      <c r="AO33" s="508">
        <f>VLOOKUP(AL33,'PAP ref'!$C$11:$J$62,4,0)</f>
        <v>1670</v>
      </c>
      <c r="AP33" s="374">
        <f t="shared" si="20"/>
        <v>0.52634730538922159</v>
      </c>
      <c r="AQ33" s="375">
        <f>IF(AP33&lt;$AR$3,$AR$3-AP33,"-")</f>
        <v>0.27365269461077846</v>
      </c>
      <c r="AR33" s="376">
        <f t="shared" si="27"/>
        <v>457</v>
      </c>
      <c r="AS33" s="375">
        <f t="shared" si="25"/>
        <v>8.2095808383233534E-2</v>
      </c>
      <c r="AT33" s="376">
        <f t="shared" si="28"/>
        <v>137.1</v>
      </c>
      <c r="AU33" s="571">
        <f t="shared" si="21"/>
        <v>0.60844311377245508</v>
      </c>
      <c r="AV33" s="510">
        <f t="shared" si="15"/>
        <v>1016.1</v>
      </c>
      <c r="AW33" s="386">
        <f t="shared" si="22"/>
        <v>1670</v>
      </c>
      <c r="AX33" s="575">
        <f t="shared" si="26"/>
        <v>914.49</v>
      </c>
      <c r="AY33" s="380">
        <v>0.9</v>
      </c>
    </row>
    <row r="34" spans="24:51" x14ac:dyDescent="0.2">
      <c r="X34" s="80"/>
      <c r="Y34" s="90" t="s">
        <v>25</v>
      </c>
      <c r="Z34" s="576"/>
      <c r="AA34" s="576"/>
      <c r="AB34" s="577"/>
      <c r="AC34" s="578"/>
      <c r="AD34" s="578"/>
      <c r="AE34" s="579"/>
      <c r="AF34" s="579"/>
      <c r="AG34" s="579"/>
      <c r="AH34" s="580"/>
      <c r="AI34" s="580"/>
      <c r="AJ34" s="580"/>
      <c r="AL34" s="343"/>
      <c r="AM34" s="344" t="s">
        <v>25</v>
      </c>
      <c r="AN34" s="403">
        <f>SUM(AN27:AN33)</f>
        <v>4814</v>
      </c>
      <c r="AO34" s="403">
        <f>SUM(AO27:AO33)</f>
        <v>8724</v>
      </c>
      <c r="AP34" s="384"/>
      <c r="AQ34" s="581"/>
      <c r="AR34" s="581"/>
      <c r="AS34" s="385"/>
      <c r="AT34" s="385"/>
      <c r="AU34" s="385"/>
      <c r="AV34" s="394"/>
      <c r="AW34" s="394"/>
      <c r="AX34" s="394"/>
      <c r="AY34" s="394"/>
    </row>
    <row r="35" spans="24:51" x14ac:dyDescent="0.2">
      <c r="X35" s="79" t="s">
        <v>32</v>
      </c>
      <c r="Y35" s="79" t="s">
        <v>33</v>
      </c>
      <c r="Z35" s="373">
        <v>2931</v>
      </c>
      <c r="AA35" s="499">
        <v>6184</v>
      </c>
      <c r="AB35" s="374">
        <f t="shared" si="2"/>
        <v>0.47396507115135833</v>
      </c>
      <c r="AC35" s="401">
        <f t="shared" ref="AC35:AC41" si="36">IF(AB35&lt;$AD$3,$AD$3-AB35,"-")</f>
        <v>0.32603492884864171</v>
      </c>
      <c r="AD35" s="570">
        <f t="shared" si="23"/>
        <v>2016.2000000000003</v>
      </c>
      <c r="AE35" s="401">
        <f t="shared" si="4"/>
        <v>8.1508732212160429E-2</v>
      </c>
      <c r="AF35" s="570">
        <f t="shared" si="5"/>
        <v>504.05000000000007</v>
      </c>
      <c r="AG35" s="571">
        <f t="shared" si="6"/>
        <v>0.5554738033635187</v>
      </c>
      <c r="AH35" s="379">
        <f t="shared" si="7"/>
        <v>3435.0499999999997</v>
      </c>
      <c r="AI35" s="379">
        <f t="shared" si="8"/>
        <v>6184</v>
      </c>
      <c r="AJ35" s="572">
        <f t="shared" si="9"/>
        <v>3091.5449999999996</v>
      </c>
      <c r="AL35" s="79" t="s">
        <v>32</v>
      </c>
      <c r="AM35" s="79" t="s">
        <v>33</v>
      </c>
      <c r="AN35" s="508">
        <v>3676</v>
      </c>
      <c r="AO35" s="508">
        <f>VLOOKUP(AL35,'PAP ref'!$C$11:$J$62,4,0)</f>
        <v>6584</v>
      </c>
      <c r="AP35" s="374">
        <f t="shared" ref="AP35:AP41" si="37">AN35/AO35</f>
        <v>0.55832320777642774</v>
      </c>
      <c r="AQ35" s="375">
        <f>IF(AP35&lt;$AR$3,$AR$3-AP35,"-")</f>
        <v>0.2416767922235723</v>
      </c>
      <c r="AR35" s="376">
        <f t="shared" ref="AR35:AR41" si="38">IFERROR(AQ35*AO35,"-")</f>
        <v>1591.2</v>
      </c>
      <c r="AS35" s="375">
        <f>IFERROR(AQ35*0.3,"-")</f>
        <v>7.2503037667071682E-2</v>
      </c>
      <c r="AT35" s="376">
        <f t="shared" ref="AT35:AT41" si="39">IFERROR(AS35*AO35,"-")</f>
        <v>477.35999999999996</v>
      </c>
      <c r="AU35" s="571">
        <f t="shared" ref="AU35:AU41" si="40">IFERROR((AS35+AP35),IF(AP35&gt;=$AD$3,$AD$3))</f>
        <v>0.63082624544349941</v>
      </c>
      <c r="AV35" s="510">
        <f t="shared" si="15"/>
        <v>4153.3599999999997</v>
      </c>
      <c r="AW35" s="386">
        <f t="shared" ref="AW35:AW41" si="41">AO35</f>
        <v>6584</v>
      </c>
      <c r="AX35" s="575">
        <f t="shared" si="26"/>
        <v>3738.0239999999999</v>
      </c>
      <c r="AY35" s="380">
        <v>0.9</v>
      </c>
    </row>
    <row r="36" spans="24:51" x14ac:dyDescent="0.2">
      <c r="X36" s="79" t="s">
        <v>34</v>
      </c>
      <c r="Y36" s="79" t="s">
        <v>33</v>
      </c>
      <c r="Z36" s="373">
        <v>776</v>
      </c>
      <c r="AA36" s="499">
        <v>1131</v>
      </c>
      <c r="AB36" s="374">
        <f t="shared" si="2"/>
        <v>0.68611847922192748</v>
      </c>
      <c r="AC36" s="401">
        <f t="shared" si="36"/>
        <v>0.11388152077807256</v>
      </c>
      <c r="AD36" s="570">
        <f t="shared" si="23"/>
        <v>128.80000000000007</v>
      </c>
      <c r="AE36" s="401">
        <f t="shared" si="4"/>
        <v>2.8470380194518141E-2</v>
      </c>
      <c r="AF36" s="570">
        <f t="shared" si="5"/>
        <v>32.200000000000017</v>
      </c>
      <c r="AG36" s="571">
        <f t="shared" si="6"/>
        <v>0.71458885941644557</v>
      </c>
      <c r="AH36" s="379">
        <f t="shared" si="7"/>
        <v>808.19999999999993</v>
      </c>
      <c r="AI36" s="379">
        <f t="shared" si="8"/>
        <v>1131</v>
      </c>
      <c r="AJ36" s="572">
        <f t="shared" si="9"/>
        <v>727.38</v>
      </c>
      <c r="AL36" s="79" t="s">
        <v>34</v>
      </c>
      <c r="AM36" s="79" t="s">
        <v>33</v>
      </c>
      <c r="AN36" s="508">
        <v>786</v>
      </c>
      <c r="AO36" s="508">
        <f>VLOOKUP(AL36,'PAP ref'!$C$11:$J$62,4,0)</f>
        <v>1187</v>
      </c>
      <c r="AP36" s="374">
        <f t="shared" si="37"/>
        <v>0.66217354675652906</v>
      </c>
      <c r="AQ36" s="375">
        <f t="shared" ref="AQ36:AQ41" si="42">IF(AP36&lt;$AR$3,$AR$3-AP36,"-")</f>
        <v>0.13782645324347098</v>
      </c>
      <c r="AR36" s="376">
        <f t="shared" si="38"/>
        <v>163.60000000000005</v>
      </c>
      <c r="AS36" s="375">
        <f t="shared" ref="AS36:AS41" si="43">IFERROR(AQ36*0.3,"-")</f>
        <v>4.1347935973041296E-2</v>
      </c>
      <c r="AT36" s="376">
        <f t="shared" si="39"/>
        <v>49.08000000000002</v>
      </c>
      <c r="AU36" s="571">
        <f t="shared" si="40"/>
        <v>0.70352148272957038</v>
      </c>
      <c r="AV36" s="510">
        <f>IFERROR(AT36+AN36,"-")</f>
        <v>835.08</v>
      </c>
      <c r="AW36" s="386">
        <f t="shared" si="41"/>
        <v>1187</v>
      </c>
      <c r="AX36" s="575">
        <f t="shared" si="26"/>
        <v>751.572</v>
      </c>
      <c r="AY36" s="380">
        <v>0.9</v>
      </c>
    </row>
    <row r="37" spans="24:51" x14ac:dyDescent="0.2">
      <c r="X37" s="79" t="s">
        <v>35</v>
      </c>
      <c r="Y37" s="79" t="s">
        <v>33</v>
      </c>
      <c r="Z37" s="373">
        <v>2453</v>
      </c>
      <c r="AA37" s="499">
        <v>2918</v>
      </c>
      <c r="AB37" s="374">
        <f t="shared" si="2"/>
        <v>0.84064427690198762</v>
      </c>
      <c r="AC37" s="401" t="str">
        <f t="shared" si="36"/>
        <v>-</v>
      </c>
      <c r="AD37" s="570" t="str">
        <f t="shared" si="23"/>
        <v>-</v>
      </c>
      <c r="AE37" s="401" t="str">
        <f t="shared" si="4"/>
        <v>-</v>
      </c>
      <c r="AF37" s="570" t="str">
        <f t="shared" si="5"/>
        <v>-</v>
      </c>
      <c r="AG37" s="571">
        <f t="shared" si="6"/>
        <v>0.8</v>
      </c>
      <c r="AH37" s="379">
        <f t="shared" si="7"/>
        <v>2334.4</v>
      </c>
      <c r="AI37" s="379">
        <f t="shared" si="8"/>
        <v>2918</v>
      </c>
      <c r="AJ37" s="572">
        <f t="shared" si="9"/>
        <v>2100.96</v>
      </c>
      <c r="AL37" s="79" t="s">
        <v>35</v>
      </c>
      <c r="AM37" s="79" t="s">
        <v>33</v>
      </c>
      <c r="AN37" s="508">
        <v>2486</v>
      </c>
      <c r="AO37" s="508">
        <f>VLOOKUP(AL37,'PAP ref'!$C$11:$J$62,4,0)</f>
        <v>3065</v>
      </c>
      <c r="AP37" s="374">
        <f t="shared" si="37"/>
        <v>0.8110929853181077</v>
      </c>
      <c r="AQ37" s="375" t="str">
        <f t="shared" si="42"/>
        <v>-</v>
      </c>
      <c r="AR37" s="376" t="str">
        <f t="shared" si="38"/>
        <v>-</v>
      </c>
      <c r="AS37" s="375" t="str">
        <f t="shared" si="43"/>
        <v>-</v>
      </c>
      <c r="AT37" s="376" t="str">
        <f t="shared" si="39"/>
        <v>-</v>
      </c>
      <c r="AU37" s="571">
        <f t="shared" si="40"/>
        <v>0.8</v>
      </c>
      <c r="AV37" s="510" t="str">
        <f>IFERROR(AT37+AN37,"-")</f>
        <v>-</v>
      </c>
      <c r="AW37" s="386">
        <f t="shared" si="41"/>
        <v>3065</v>
      </c>
      <c r="AX37" s="575" t="str">
        <f t="shared" si="26"/>
        <v>-</v>
      </c>
      <c r="AY37" s="380">
        <v>0.9</v>
      </c>
    </row>
    <row r="38" spans="24:51" x14ac:dyDescent="0.2">
      <c r="X38" s="79" t="s">
        <v>36</v>
      </c>
      <c r="Y38" s="79" t="s">
        <v>33</v>
      </c>
      <c r="Z38" s="373">
        <v>3800</v>
      </c>
      <c r="AA38" s="499">
        <v>6488</v>
      </c>
      <c r="AB38" s="374">
        <f t="shared" si="2"/>
        <v>0.58569667077681875</v>
      </c>
      <c r="AC38" s="401">
        <f t="shared" si="36"/>
        <v>0.21430332922318129</v>
      </c>
      <c r="AD38" s="570">
        <f t="shared" si="23"/>
        <v>1390.4000000000003</v>
      </c>
      <c r="AE38" s="401">
        <f t="shared" si="4"/>
        <v>5.3575832305795323E-2</v>
      </c>
      <c r="AF38" s="570">
        <f t="shared" si="5"/>
        <v>347.60000000000008</v>
      </c>
      <c r="AG38" s="571">
        <f t="shared" si="6"/>
        <v>0.63927250308261407</v>
      </c>
      <c r="AH38" s="379">
        <f t="shared" si="7"/>
        <v>4147.6000000000004</v>
      </c>
      <c r="AI38" s="379">
        <f t="shared" si="8"/>
        <v>6488</v>
      </c>
      <c r="AJ38" s="572">
        <f t="shared" si="9"/>
        <v>3732.8400000000006</v>
      </c>
      <c r="AL38" s="79" t="s">
        <v>36</v>
      </c>
      <c r="AM38" s="79" t="s">
        <v>33</v>
      </c>
      <c r="AN38" s="508">
        <v>4252</v>
      </c>
      <c r="AO38" s="508">
        <f>VLOOKUP(AL38,'PAP ref'!$C$11:$J$62,4,0)</f>
        <v>6631</v>
      </c>
      <c r="AP38" s="374">
        <f t="shared" si="37"/>
        <v>0.64123058362237972</v>
      </c>
      <c r="AQ38" s="375">
        <f t="shared" si="42"/>
        <v>0.15876941637762032</v>
      </c>
      <c r="AR38" s="376">
        <f t="shared" si="38"/>
        <v>1052.8000000000004</v>
      </c>
      <c r="AS38" s="375">
        <f t="shared" si="43"/>
        <v>4.7630824913286095E-2</v>
      </c>
      <c r="AT38" s="376">
        <f t="shared" si="39"/>
        <v>315.84000000000009</v>
      </c>
      <c r="AU38" s="571">
        <f t="shared" si="40"/>
        <v>0.6888614085356658</v>
      </c>
      <c r="AV38" s="510">
        <f t="shared" si="15"/>
        <v>4567.84</v>
      </c>
      <c r="AW38" s="386">
        <f t="shared" si="41"/>
        <v>6631</v>
      </c>
      <c r="AX38" s="575">
        <f t="shared" si="26"/>
        <v>4111.0560000000005</v>
      </c>
      <c r="AY38" s="380">
        <v>0.9</v>
      </c>
    </row>
    <row r="39" spans="24:51" x14ac:dyDescent="0.2">
      <c r="X39" s="79" t="s">
        <v>37</v>
      </c>
      <c r="Y39" s="79" t="s">
        <v>33</v>
      </c>
      <c r="Z39" s="373">
        <v>5277</v>
      </c>
      <c r="AA39" s="499">
        <v>8290</v>
      </c>
      <c r="AB39" s="374">
        <f t="shared" si="2"/>
        <v>0.63655006031363093</v>
      </c>
      <c r="AC39" s="401">
        <f t="shared" si="36"/>
        <v>0.16344993968636912</v>
      </c>
      <c r="AD39" s="570">
        <f t="shared" si="23"/>
        <v>1355</v>
      </c>
      <c r="AE39" s="401">
        <f t="shared" si="4"/>
        <v>4.0862484921592279E-2</v>
      </c>
      <c r="AF39" s="570">
        <f t="shared" si="5"/>
        <v>338.75</v>
      </c>
      <c r="AG39" s="571">
        <f t="shared" si="6"/>
        <v>0.67741254523522321</v>
      </c>
      <c r="AH39" s="379">
        <f t="shared" si="7"/>
        <v>5615.75</v>
      </c>
      <c r="AI39" s="379">
        <f t="shared" si="8"/>
        <v>8290</v>
      </c>
      <c r="AJ39" s="572">
        <f t="shared" si="9"/>
        <v>5054.1750000000002</v>
      </c>
      <c r="AL39" s="79" t="s">
        <v>37</v>
      </c>
      <c r="AM39" s="79" t="s">
        <v>33</v>
      </c>
      <c r="AN39" s="508">
        <v>5167</v>
      </c>
      <c r="AO39" s="508">
        <f>VLOOKUP(AL39,'PAP ref'!$C$11:$J$62,4,0)</f>
        <v>8590</v>
      </c>
      <c r="AP39" s="374">
        <f t="shared" si="37"/>
        <v>0.6015133876600699</v>
      </c>
      <c r="AQ39" s="375">
        <f t="shared" si="42"/>
        <v>0.19848661233993015</v>
      </c>
      <c r="AR39" s="376">
        <f t="shared" si="38"/>
        <v>1705</v>
      </c>
      <c r="AS39" s="375">
        <f t="shared" si="43"/>
        <v>5.9545983701979041E-2</v>
      </c>
      <c r="AT39" s="376">
        <f t="shared" si="39"/>
        <v>511.49999999999994</v>
      </c>
      <c r="AU39" s="571">
        <f t="shared" si="40"/>
        <v>0.66105937136204895</v>
      </c>
      <c r="AV39" s="510">
        <f t="shared" si="15"/>
        <v>5678.5</v>
      </c>
      <c r="AW39" s="386">
        <f t="shared" si="41"/>
        <v>8590</v>
      </c>
      <c r="AX39" s="575">
        <f t="shared" si="26"/>
        <v>5110.6500000000005</v>
      </c>
      <c r="AY39" s="380">
        <v>0.9</v>
      </c>
    </row>
    <row r="40" spans="24:51" x14ac:dyDescent="0.2">
      <c r="X40" s="79" t="s">
        <v>38</v>
      </c>
      <c r="Y40" s="79" t="s">
        <v>33</v>
      </c>
      <c r="Z40" s="373">
        <v>718</v>
      </c>
      <c r="AA40" s="499">
        <v>1329</v>
      </c>
      <c r="AB40" s="374">
        <f t="shared" si="2"/>
        <v>0.54025583145221967</v>
      </c>
      <c r="AC40" s="401">
        <f t="shared" si="36"/>
        <v>0.25974416854778037</v>
      </c>
      <c r="AD40" s="570">
        <f t="shared" si="23"/>
        <v>345.2000000000001</v>
      </c>
      <c r="AE40" s="401">
        <f t="shared" si="4"/>
        <v>6.4936042136945094E-2</v>
      </c>
      <c r="AF40" s="570">
        <f t="shared" si="5"/>
        <v>86.300000000000026</v>
      </c>
      <c r="AG40" s="571">
        <f t="shared" si="6"/>
        <v>0.60519187358916482</v>
      </c>
      <c r="AH40" s="379">
        <f t="shared" si="7"/>
        <v>804.30000000000007</v>
      </c>
      <c r="AI40" s="379">
        <f t="shared" si="8"/>
        <v>1329</v>
      </c>
      <c r="AJ40" s="572">
        <f t="shared" si="9"/>
        <v>723.87000000000012</v>
      </c>
      <c r="AL40" s="79" t="s">
        <v>38</v>
      </c>
      <c r="AM40" s="79" t="s">
        <v>33</v>
      </c>
      <c r="AN40" s="508">
        <v>773</v>
      </c>
      <c r="AO40" s="508">
        <f>VLOOKUP(AL40,'PAP ref'!$C$11:$J$62,4,0)</f>
        <v>1385</v>
      </c>
      <c r="AP40" s="374">
        <f t="shared" si="37"/>
        <v>0.55812274368231052</v>
      </c>
      <c r="AQ40" s="375">
        <f t="shared" si="42"/>
        <v>0.24187725631768953</v>
      </c>
      <c r="AR40" s="376">
        <f t="shared" si="38"/>
        <v>335</v>
      </c>
      <c r="AS40" s="375">
        <f t="shared" si="43"/>
        <v>7.256317689530685E-2</v>
      </c>
      <c r="AT40" s="376">
        <f t="shared" si="39"/>
        <v>100.49999999999999</v>
      </c>
      <c r="AU40" s="571">
        <f t="shared" si="40"/>
        <v>0.63068592057761741</v>
      </c>
      <c r="AV40" s="510">
        <f t="shared" si="15"/>
        <v>873.5</v>
      </c>
      <c r="AW40" s="386">
        <f t="shared" si="41"/>
        <v>1385</v>
      </c>
      <c r="AX40" s="575">
        <f t="shared" si="26"/>
        <v>786.15</v>
      </c>
      <c r="AY40" s="380">
        <v>0.9</v>
      </c>
    </row>
    <row r="41" spans="24:51" x14ac:dyDescent="0.2">
      <c r="X41" s="79" t="s">
        <v>39</v>
      </c>
      <c r="Y41" s="79" t="s">
        <v>33</v>
      </c>
      <c r="Z41" s="373">
        <v>2399</v>
      </c>
      <c r="AA41" s="499">
        <v>3099</v>
      </c>
      <c r="AB41" s="374">
        <f t="shared" si="2"/>
        <v>0.77412068409164247</v>
      </c>
      <c r="AC41" s="401">
        <f t="shared" si="36"/>
        <v>2.587931590835757E-2</v>
      </c>
      <c r="AD41" s="570">
        <f t="shared" si="23"/>
        <v>80.200000000000102</v>
      </c>
      <c r="AE41" s="401">
        <f t="shared" si="4"/>
        <v>6.4698289770893924E-3</v>
      </c>
      <c r="AF41" s="570">
        <f t="shared" si="5"/>
        <v>20.050000000000026</v>
      </c>
      <c r="AG41" s="571">
        <f t="shared" si="6"/>
        <v>0.78059051306873184</v>
      </c>
      <c r="AH41" s="379">
        <f t="shared" si="7"/>
        <v>2419.0500000000002</v>
      </c>
      <c r="AI41" s="379">
        <f t="shared" si="8"/>
        <v>3099</v>
      </c>
      <c r="AJ41" s="572">
        <f t="shared" si="9"/>
        <v>2177.1450000000004</v>
      </c>
      <c r="AL41" s="79" t="s">
        <v>39</v>
      </c>
      <c r="AM41" s="79" t="s">
        <v>33</v>
      </c>
      <c r="AN41" s="508">
        <v>2567</v>
      </c>
      <c r="AO41" s="508">
        <f>VLOOKUP(AL41,'PAP ref'!$C$11:$J$62,4,0)</f>
        <v>3617</v>
      </c>
      <c r="AP41" s="374">
        <f t="shared" si="37"/>
        <v>0.70970417473043956</v>
      </c>
      <c r="AQ41" s="375">
        <f t="shared" si="42"/>
        <v>9.0295825269560481E-2</v>
      </c>
      <c r="AR41" s="376">
        <f t="shared" si="38"/>
        <v>326.60000000000025</v>
      </c>
      <c r="AS41" s="375">
        <f t="shared" si="43"/>
        <v>2.7088747580868145E-2</v>
      </c>
      <c r="AT41" s="376">
        <f t="shared" si="39"/>
        <v>97.980000000000075</v>
      </c>
      <c r="AU41" s="571">
        <f t="shared" si="40"/>
        <v>0.73679292231130766</v>
      </c>
      <c r="AV41" s="510">
        <f t="shared" si="15"/>
        <v>2664.98</v>
      </c>
      <c r="AW41" s="386">
        <f t="shared" si="41"/>
        <v>3617</v>
      </c>
      <c r="AX41" s="575">
        <f t="shared" si="26"/>
        <v>2398.482</v>
      </c>
      <c r="AY41" s="380">
        <v>0.9</v>
      </c>
    </row>
    <row r="42" spans="24:51" x14ac:dyDescent="0.2">
      <c r="AL42" s="343"/>
      <c r="AM42" s="344" t="s">
        <v>25</v>
      </c>
      <c r="AN42" s="403">
        <f>SUM(AN35:AN41)</f>
        <v>19707</v>
      </c>
      <c r="AO42" s="403">
        <f>SUM(AO35:AO41)</f>
        <v>31059</v>
      </c>
      <c r="AP42" s="384"/>
      <c r="AQ42" s="581"/>
      <c r="AR42" s="581"/>
      <c r="AS42" s="385"/>
      <c r="AT42" s="385"/>
      <c r="AU42" s="385"/>
      <c r="AV42" s="394"/>
      <c r="AW42" s="393"/>
      <c r="AX42" s="393"/>
      <c r="AY42" s="393"/>
    </row>
  </sheetData>
  <mergeCells count="32">
    <mergeCell ref="AY7:AY8"/>
    <mergeCell ref="AX7:AX8"/>
    <mergeCell ref="AS2:AY2"/>
    <mergeCell ref="AS3:AY3"/>
    <mergeCell ref="AM4:AY4"/>
    <mergeCell ref="AM5:AY5"/>
    <mergeCell ref="AU7:AU8"/>
    <mergeCell ref="AV7:AV8"/>
    <mergeCell ref="AW7:AW8"/>
    <mergeCell ref="AS7:AT7"/>
    <mergeCell ref="X7:X8"/>
    <mergeCell ref="X2:X3"/>
    <mergeCell ref="Y2:AC3"/>
    <mergeCell ref="AH7:AH8"/>
    <mergeCell ref="AI7:AI8"/>
    <mergeCell ref="Y7:Y8"/>
    <mergeCell ref="Z7:AB7"/>
    <mergeCell ref="AC7:AD7"/>
    <mergeCell ref="AE7:AF7"/>
    <mergeCell ref="AG7:AG8"/>
    <mergeCell ref="AE2:AJ2"/>
    <mergeCell ref="AE3:AJ3"/>
    <mergeCell ref="Y4:AJ4"/>
    <mergeCell ref="Y5:AJ5"/>
    <mergeCell ref="AL2:AL3"/>
    <mergeCell ref="AM2:AQ3"/>
    <mergeCell ref="AL7:AL8"/>
    <mergeCell ref="AM7:AM8"/>
    <mergeCell ref="AQ7:AR7"/>
    <mergeCell ref="AN7:AN8"/>
    <mergeCell ref="AO7:AO8"/>
    <mergeCell ref="AP7:AP8"/>
  </mergeCells>
  <pageMargins left="0.7" right="0.7" top="0.75" bottom="0.75" header="0.3" footer="0.3"/>
  <pageSetup orientation="portrait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8DCC5-4F6B-4AF9-98AD-83310F735BAC}">
  <sheetPr>
    <tabColor rgb="FFFFFF00"/>
  </sheetPr>
  <dimension ref="A1:N64"/>
  <sheetViews>
    <sheetView showGridLines="0" topLeftCell="A2" zoomScale="80" zoomScaleNormal="80" workbookViewId="0">
      <selection activeCell="L7" sqref="L7"/>
    </sheetView>
  </sheetViews>
  <sheetFormatPr baseColWidth="10" defaultRowHeight="12.75" x14ac:dyDescent="0.2"/>
  <cols>
    <col min="1" max="1" width="11.42578125" style="123"/>
    <col min="2" max="2" width="17.28515625" style="123" customWidth="1"/>
    <col min="3" max="3" width="11.42578125" style="123"/>
    <col min="4" max="4" width="21.42578125" style="123" customWidth="1"/>
    <col min="5" max="5" width="15" style="123" customWidth="1"/>
    <col min="6" max="6" width="15.7109375" style="123" customWidth="1"/>
    <col min="7" max="7" width="14.140625" style="123" customWidth="1"/>
    <col min="8" max="8" width="16.7109375" style="123" customWidth="1"/>
    <col min="9" max="9" width="10.85546875" style="123" customWidth="1"/>
    <col min="10" max="10" width="26.7109375" style="565" customWidth="1"/>
    <col min="11" max="16384" width="11.42578125" style="123"/>
  </cols>
  <sheetData>
    <row r="1" spans="1:14" hidden="1" x14ac:dyDescent="0.2">
      <c r="A1" s="513"/>
      <c r="B1" s="513"/>
      <c r="C1" s="513"/>
      <c r="D1" s="513"/>
      <c r="E1" s="513"/>
      <c r="F1" s="513"/>
      <c r="G1" s="513"/>
      <c r="H1" s="513"/>
      <c r="I1" s="513"/>
      <c r="J1" s="514"/>
    </row>
    <row r="2" spans="1:14" ht="15" customHeight="1" x14ac:dyDescent="0.2">
      <c r="A2" s="659" t="s">
        <v>164</v>
      </c>
      <c r="B2" s="660"/>
      <c r="C2" s="660"/>
      <c r="D2" s="660"/>
      <c r="E2" s="660"/>
      <c r="F2" s="660"/>
      <c r="G2" s="660"/>
      <c r="H2" s="660"/>
      <c r="I2" s="660"/>
      <c r="J2" s="661"/>
    </row>
    <row r="3" spans="1:14" ht="15" customHeight="1" x14ac:dyDescent="0.2">
      <c r="A3" s="662"/>
      <c r="B3" s="663"/>
      <c r="C3" s="663"/>
      <c r="D3" s="663"/>
      <c r="E3" s="663"/>
      <c r="F3" s="663"/>
      <c r="G3" s="663"/>
      <c r="H3" s="663"/>
      <c r="I3" s="663"/>
      <c r="J3" s="664"/>
    </row>
    <row r="4" spans="1:14" ht="15" customHeight="1" x14ac:dyDescent="0.2">
      <c r="A4" s="665"/>
      <c r="B4" s="666"/>
      <c r="C4" s="677" t="s">
        <v>165</v>
      </c>
      <c r="D4" s="677"/>
      <c r="E4" s="679" t="s">
        <v>166</v>
      </c>
      <c r="F4" s="655" t="s">
        <v>167</v>
      </c>
      <c r="G4" s="655" t="s">
        <v>168</v>
      </c>
      <c r="H4" s="655" t="s">
        <v>169</v>
      </c>
      <c r="I4" s="655" t="s">
        <v>170</v>
      </c>
      <c r="J4" s="657" t="s">
        <v>171</v>
      </c>
    </row>
    <row r="5" spans="1:14" x14ac:dyDescent="0.2">
      <c r="A5" s="667"/>
      <c r="B5" s="668"/>
      <c r="C5" s="677"/>
      <c r="D5" s="677"/>
      <c r="E5" s="679"/>
      <c r="F5" s="655"/>
      <c r="G5" s="655"/>
      <c r="H5" s="655"/>
      <c r="I5" s="655"/>
      <c r="J5" s="657"/>
    </row>
    <row r="6" spans="1:14" x14ac:dyDescent="0.2">
      <c r="A6" s="667"/>
      <c r="B6" s="668"/>
      <c r="C6" s="677"/>
      <c r="D6" s="677"/>
      <c r="E6" s="679"/>
      <c r="F6" s="655"/>
      <c r="G6" s="655"/>
      <c r="H6" s="655"/>
      <c r="I6" s="655"/>
      <c r="J6" s="657"/>
    </row>
    <row r="7" spans="1:14" ht="65.25" customHeight="1" x14ac:dyDescent="0.2">
      <c r="A7" s="667"/>
      <c r="B7" s="668"/>
      <c r="C7" s="677"/>
      <c r="D7" s="677"/>
      <c r="E7" s="679"/>
      <c r="F7" s="655"/>
      <c r="G7" s="655"/>
      <c r="H7" s="655"/>
      <c r="I7" s="655"/>
      <c r="J7" s="657"/>
    </row>
    <row r="8" spans="1:14" ht="0.75" hidden="1" customHeight="1" x14ac:dyDescent="0.2">
      <c r="A8" s="669"/>
      <c r="B8" s="670"/>
      <c r="C8" s="677"/>
      <c r="D8" s="677"/>
      <c r="E8" s="679"/>
      <c r="F8" s="655"/>
      <c r="G8" s="655"/>
      <c r="H8" s="655"/>
      <c r="I8" s="655"/>
      <c r="J8" s="657"/>
    </row>
    <row r="9" spans="1:14" ht="2.25" customHeight="1" thickBot="1" x14ac:dyDescent="0.25">
      <c r="A9" s="515"/>
      <c r="B9" s="516"/>
      <c r="C9" s="678"/>
      <c r="D9" s="678"/>
      <c r="E9" s="680"/>
      <c r="F9" s="656"/>
      <c r="G9" s="656"/>
      <c r="H9" s="656"/>
      <c r="I9" s="656"/>
      <c r="J9" s="658"/>
    </row>
    <row r="10" spans="1:14" x14ac:dyDescent="0.2">
      <c r="A10" s="671" t="s">
        <v>172</v>
      </c>
      <c r="B10" s="517"/>
      <c r="C10" s="674" t="s">
        <v>173</v>
      </c>
      <c r="D10" s="674"/>
      <c r="E10" s="675"/>
      <c r="F10" s="675"/>
      <c r="G10" s="675"/>
      <c r="H10" s="675"/>
      <c r="I10" s="675"/>
      <c r="J10" s="676"/>
    </row>
    <row r="11" spans="1:14" ht="31.5" customHeight="1" x14ac:dyDescent="0.2">
      <c r="A11" s="672"/>
      <c r="B11" s="518"/>
      <c r="C11" s="651" t="s">
        <v>6</v>
      </c>
      <c r="D11" s="651"/>
      <c r="E11" s="519">
        <v>5240</v>
      </c>
      <c r="F11" s="520">
        <v>13169</v>
      </c>
      <c r="G11" s="521">
        <f>F11*80/100</f>
        <v>10535.2</v>
      </c>
      <c r="H11" s="521">
        <f>G11-E11</f>
        <v>5295.2000000000007</v>
      </c>
      <c r="I11" s="521">
        <f>H11*30/100</f>
        <v>1588.5600000000004</v>
      </c>
      <c r="J11" s="522">
        <f>E11+I11</f>
        <v>6828.56</v>
      </c>
      <c r="N11" s="523"/>
    </row>
    <row r="12" spans="1:14" x14ac:dyDescent="0.2">
      <c r="A12" s="672"/>
      <c r="B12" s="518"/>
      <c r="C12" s="651" t="s">
        <v>11</v>
      </c>
      <c r="D12" s="651"/>
      <c r="E12" s="519">
        <v>3725</v>
      </c>
      <c r="F12" s="520">
        <v>6201</v>
      </c>
      <c r="G12" s="521">
        <f t="shared" ref="G12:G47" si="0">F12*80/100</f>
        <v>4960.8</v>
      </c>
      <c r="H12" s="521">
        <f t="shared" ref="H12:H47" si="1">G12-E12</f>
        <v>1235.8000000000002</v>
      </c>
      <c r="I12" s="521">
        <f t="shared" ref="I12:I62" si="2">H12*30/100</f>
        <v>370.74000000000007</v>
      </c>
      <c r="J12" s="522">
        <f t="shared" ref="J12:J62" si="3">E12+I12</f>
        <v>4095.7400000000002</v>
      </c>
      <c r="N12" s="523"/>
    </row>
    <row r="13" spans="1:14" x14ac:dyDescent="0.2">
      <c r="A13" s="672"/>
      <c r="B13" s="518"/>
      <c r="C13" s="651" t="s">
        <v>8</v>
      </c>
      <c r="D13" s="651"/>
      <c r="E13" s="519">
        <v>2822</v>
      </c>
      <c r="F13" s="520">
        <v>6455</v>
      </c>
      <c r="G13" s="521">
        <f t="shared" si="0"/>
        <v>5164</v>
      </c>
      <c r="H13" s="521">
        <f t="shared" si="1"/>
        <v>2342</v>
      </c>
      <c r="I13" s="521">
        <f t="shared" si="2"/>
        <v>702.6</v>
      </c>
      <c r="J13" s="522">
        <f t="shared" si="3"/>
        <v>3524.6</v>
      </c>
      <c r="N13" s="523"/>
    </row>
    <row r="14" spans="1:14" x14ac:dyDescent="0.2">
      <c r="A14" s="672"/>
      <c r="B14" s="518"/>
      <c r="C14" s="651" t="s">
        <v>9</v>
      </c>
      <c r="D14" s="651"/>
      <c r="E14" s="519">
        <v>2687</v>
      </c>
      <c r="F14" s="520">
        <v>6856</v>
      </c>
      <c r="G14" s="521">
        <f t="shared" si="0"/>
        <v>5484.8</v>
      </c>
      <c r="H14" s="521">
        <f t="shared" si="1"/>
        <v>2797.8</v>
      </c>
      <c r="I14" s="521">
        <f t="shared" si="2"/>
        <v>839.34</v>
      </c>
      <c r="J14" s="522">
        <f t="shared" si="3"/>
        <v>3526.34</v>
      </c>
      <c r="N14" s="523"/>
    </row>
    <row r="15" spans="1:14" x14ac:dyDescent="0.2">
      <c r="A15" s="672"/>
      <c r="B15" s="518"/>
      <c r="C15" s="651" t="s">
        <v>10</v>
      </c>
      <c r="D15" s="651"/>
      <c r="E15" s="519">
        <v>521</v>
      </c>
      <c r="F15" s="520">
        <v>973</v>
      </c>
      <c r="G15" s="521">
        <f t="shared" si="0"/>
        <v>778.4</v>
      </c>
      <c r="H15" s="521">
        <f t="shared" si="1"/>
        <v>257.39999999999998</v>
      </c>
      <c r="I15" s="521">
        <f t="shared" si="2"/>
        <v>77.219999999999985</v>
      </c>
      <c r="J15" s="522">
        <f t="shared" si="3"/>
        <v>598.22</v>
      </c>
      <c r="N15" s="523"/>
    </row>
    <row r="16" spans="1:14" x14ac:dyDescent="0.2">
      <c r="A16" s="672"/>
      <c r="B16" s="518"/>
      <c r="C16" s="651" t="s">
        <v>12</v>
      </c>
      <c r="D16" s="651"/>
      <c r="E16" s="519">
        <v>2320</v>
      </c>
      <c r="F16" s="520">
        <v>4675</v>
      </c>
      <c r="G16" s="521">
        <f t="shared" si="0"/>
        <v>3740</v>
      </c>
      <c r="H16" s="521">
        <f t="shared" si="1"/>
        <v>1420</v>
      </c>
      <c r="I16" s="521">
        <f t="shared" si="2"/>
        <v>426</v>
      </c>
      <c r="J16" s="522">
        <f t="shared" si="3"/>
        <v>2746</v>
      </c>
      <c r="N16" s="523"/>
    </row>
    <row r="17" spans="1:14" x14ac:dyDescent="0.2">
      <c r="A17" s="672"/>
      <c r="B17" s="518"/>
      <c r="C17" s="652" t="s">
        <v>174</v>
      </c>
      <c r="D17" s="652"/>
      <c r="E17" s="519"/>
      <c r="F17" s="520"/>
      <c r="G17" s="521"/>
      <c r="H17" s="521"/>
      <c r="I17" s="521"/>
      <c r="J17" s="522"/>
      <c r="N17" s="523"/>
    </row>
    <row r="18" spans="1:14" x14ac:dyDescent="0.2">
      <c r="A18" s="672"/>
      <c r="B18" s="518"/>
      <c r="C18" s="651" t="s">
        <v>13</v>
      </c>
      <c r="D18" s="651"/>
      <c r="E18" s="519">
        <v>3119</v>
      </c>
      <c r="F18" s="520">
        <v>6155</v>
      </c>
      <c r="G18" s="521">
        <f t="shared" si="0"/>
        <v>4924</v>
      </c>
      <c r="H18" s="521">
        <f t="shared" si="1"/>
        <v>1805</v>
      </c>
      <c r="I18" s="521">
        <f t="shared" si="2"/>
        <v>541.5</v>
      </c>
      <c r="J18" s="522">
        <f t="shared" si="3"/>
        <v>3660.5</v>
      </c>
      <c r="N18" s="523"/>
    </row>
    <row r="19" spans="1:14" x14ac:dyDescent="0.2">
      <c r="A19" s="672"/>
      <c r="B19" s="518"/>
      <c r="C19" s="651" t="s">
        <v>14</v>
      </c>
      <c r="D19" s="651"/>
      <c r="E19" s="519">
        <v>1961</v>
      </c>
      <c r="F19" s="520">
        <v>4063</v>
      </c>
      <c r="G19" s="521">
        <f t="shared" si="0"/>
        <v>3250.4</v>
      </c>
      <c r="H19" s="521">
        <f t="shared" si="1"/>
        <v>1289.4000000000001</v>
      </c>
      <c r="I19" s="521">
        <f t="shared" si="2"/>
        <v>386.82</v>
      </c>
      <c r="J19" s="522">
        <f t="shared" si="3"/>
        <v>2347.8200000000002</v>
      </c>
      <c r="N19" s="523"/>
    </row>
    <row r="20" spans="1:14" x14ac:dyDescent="0.2">
      <c r="A20" s="672"/>
      <c r="B20" s="518"/>
      <c r="C20" s="652" t="s">
        <v>175</v>
      </c>
      <c r="D20" s="652"/>
      <c r="E20" s="519"/>
      <c r="F20" s="520"/>
      <c r="G20" s="521"/>
      <c r="H20" s="521"/>
      <c r="I20" s="521"/>
      <c r="J20" s="522"/>
      <c r="N20" s="523"/>
    </row>
    <row r="21" spans="1:14" x14ac:dyDescent="0.2">
      <c r="A21" s="672"/>
      <c r="B21" s="518"/>
      <c r="C21" s="651" t="s">
        <v>17</v>
      </c>
      <c r="D21" s="651"/>
      <c r="E21" s="519">
        <v>2430</v>
      </c>
      <c r="F21" s="520">
        <v>3806</v>
      </c>
      <c r="G21" s="521">
        <f t="shared" si="0"/>
        <v>3044.8</v>
      </c>
      <c r="H21" s="521">
        <f t="shared" si="1"/>
        <v>614.80000000000018</v>
      </c>
      <c r="I21" s="521">
        <f t="shared" si="2"/>
        <v>184.44000000000008</v>
      </c>
      <c r="J21" s="522">
        <f t="shared" si="3"/>
        <v>2614.44</v>
      </c>
      <c r="N21" s="523"/>
    </row>
    <row r="22" spans="1:14" x14ac:dyDescent="0.2">
      <c r="A22" s="672"/>
      <c r="B22" s="518"/>
      <c r="C22" s="652" t="s">
        <v>176</v>
      </c>
      <c r="D22" s="652"/>
      <c r="E22" s="519"/>
      <c r="F22" s="520"/>
      <c r="G22" s="521"/>
      <c r="H22" s="521"/>
      <c r="I22" s="521"/>
      <c r="J22" s="522"/>
      <c r="N22" s="523"/>
    </row>
    <row r="23" spans="1:14" x14ac:dyDescent="0.2">
      <c r="A23" s="672"/>
      <c r="B23" s="518"/>
      <c r="C23" s="651" t="s">
        <v>23</v>
      </c>
      <c r="D23" s="651"/>
      <c r="E23" s="519">
        <v>1740</v>
      </c>
      <c r="F23" s="520">
        <v>2600</v>
      </c>
      <c r="G23" s="521">
        <f t="shared" si="0"/>
        <v>2080</v>
      </c>
      <c r="H23" s="521">
        <f t="shared" si="1"/>
        <v>340</v>
      </c>
      <c r="I23" s="521">
        <f t="shared" si="2"/>
        <v>102</v>
      </c>
      <c r="J23" s="522">
        <f t="shared" si="3"/>
        <v>1842</v>
      </c>
      <c r="N23" s="523"/>
    </row>
    <row r="24" spans="1:14" x14ac:dyDescent="0.2">
      <c r="A24" s="672"/>
      <c r="B24" s="518"/>
      <c r="C24" s="652" t="s">
        <v>177</v>
      </c>
      <c r="D24" s="652"/>
      <c r="E24" s="519"/>
      <c r="F24" s="520"/>
      <c r="G24" s="521"/>
      <c r="H24" s="521"/>
      <c r="I24" s="521"/>
      <c r="J24" s="522"/>
      <c r="N24" s="523"/>
    </row>
    <row r="25" spans="1:14" x14ac:dyDescent="0.2">
      <c r="A25" s="672"/>
      <c r="B25" s="518"/>
      <c r="C25" s="651" t="s">
        <v>22</v>
      </c>
      <c r="D25" s="651"/>
      <c r="E25" s="519">
        <v>719</v>
      </c>
      <c r="F25" s="520">
        <v>1582</v>
      </c>
      <c r="G25" s="521">
        <f t="shared" si="0"/>
        <v>1265.5999999999999</v>
      </c>
      <c r="H25" s="521">
        <f t="shared" si="1"/>
        <v>546.59999999999991</v>
      </c>
      <c r="I25" s="521">
        <f t="shared" si="2"/>
        <v>163.97999999999996</v>
      </c>
      <c r="J25" s="522">
        <f t="shared" si="3"/>
        <v>882.98</v>
      </c>
      <c r="N25" s="523"/>
    </row>
    <row r="26" spans="1:14" x14ac:dyDescent="0.2">
      <c r="A26" s="672"/>
      <c r="B26" s="518"/>
      <c r="C26" s="652" t="s">
        <v>178</v>
      </c>
      <c r="D26" s="652"/>
      <c r="E26" s="519"/>
      <c r="F26" s="520"/>
      <c r="G26" s="521"/>
      <c r="H26" s="521"/>
      <c r="I26" s="521"/>
      <c r="J26" s="522"/>
      <c r="N26" s="523"/>
    </row>
    <row r="27" spans="1:14" x14ac:dyDescent="0.2">
      <c r="A27" s="672"/>
      <c r="B27" s="518"/>
      <c r="C27" s="651" t="s">
        <v>15</v>
      </c>
      <c r="D27" s="651"/>
      <c r="E27" s="519">
        <v>679</v>
      </c>
      <c r="F27" s="524">
        <v>1170</v>
      </c>
      <c r="G27" s="521">
        <f t="shared" si="0"/>
        <v>936</v>
      </c>
      <c r="H27" s="521">
        <f t="shared" si="1"/>
        <v>257</v>
      </c>
      <c r="I27" s="521">
        <f t="shared" si="2"/>
        <v>77.099999999999994</v>
      </c>
      <c r="J27" s="522">
        <f t="shared" si="3"/>
        <v>756.1</v>
      </c>
      <c r="N27" s="523"/>
    </row>
    <row r="28" spans="1:14" x14ac:dyDescent="0.2">
      <c r="A28" s="672"/>
      <c r="B28" s="518"/>
      <c r="C28" s="652" t="s">
        <v>179</v>
      </c>
      <c r="D28" s="652"/>
      <c r="E28" s="519"/>
      <c r="F28" s="520"/>
      <c r="G28" s="521"/>
      <c r="H28" s="521"/>
      <c r="I28" s="521"/>
      <c r="J28" s="522"/>
      <c r="N28" s="523"/>
    </row>
    <row r="29" spans="1:14" x14ac:dyDescent="0.2">
      <c r="A29" s="672"/>
      <c r="B29" s="518"/>
      <c r="C29" s="651" t="s">
        <v>16</v>
      </c>
      <c r="D29" s="651"/>
      <c r="E29" s="519">
        <v>1314</v>
      </c>
      <c r="F29" s="520">
        <v>2455</v>
      </c>
      <c r="G29" s="521">
        <f t="shared" si="0"/>
        <v>1964</v>
      </c>
      <c r="H29" s="521">
        <f t="shared" si="1"/>
        <v>650</v>
      </c>
      <c r="I29" s="521">
        <f t="shared" si="2"/>
        <v>195</v>
      </c>
      <c r="J29" s="522">
        <f t="shared" si="3"/>
        <v>1509</v>
      </c>
      <c r="N29" s="523"/>
    </row>
    <row r="30" spans="1:14" x14ac:dyDescent="0.2">
      <c r="A30" s="672"/>
      <c r="B30" s="518"/>
      <c r="C30" s="652" t="s">
        <v>180</v>
      </c>
      <c r="D30" s="652"/>
      <c r="E30" s="519"/>
      <c r="F30" s="520"/>
      <c r="G30" s="521"/>
      <c r="H30" s="521"/>
      <c r="I30" s="521"/>
      <c r="J30" s="522"/>
      <c r="N30" s="523"/>
    </row>
    <row r="31" spans="1:14" x14ac:dyDescent="0.2">
      <c r="A31" s="672"/>
      <c r="B31" s="518"/>
      <c r="C31" s="651" t="s">
        <v>18</v>
      </c>
      <c r="D31" s="651"/>
      <c r="E31" s="519">
        <v>2819</v>
      </c>
      <c r="F31" s="520">
        <v>4845</v>
      </c>
      <c r="G31" s="521">
        <f t="shared" si="0"/>
        <v>3876</v>
      </c>
      <c r="H31" s="521">
        <f t="shared" si="1"/>
        <v>1057</v>
      </c>
      <c r="I31" s="521">
        <f t="shared" si="2"/>
        <v>317.10000000000002</v>
      </c>
      <c r="J31" s="522">
        <f t="shared" si="3"/>
        <v>3136.1</v>
      </c>
      <c r="N31" s="523"/>
    </row>
    <row r="32" spans="1:14" x14ac:dyDescent="0.2">
      <c r="A32" s="672"/>
      <c r="B32" s="518"/>
      <c r="C32" s="652" t="s">
        <v>181</v>
      </c>
      <c r="D32" s="652"/>
      <c r="E32" s="519"/>
      <c r="F32" s="520"/>
      <c r="G32" s="521"/>
      <c r="H32" s="521"/>
      <c r="I32" s="521"/>
      <c r="J32" s="522"/>
      <c r="N32" s="523"/>
    </row>
    <row r="33" spans="1:14" x14ac:dyDescent="0.2">
      <c r="A33" s="672"/>
      <c r="B33" s="518"/>
      <c r="C33" s="651" t="s">
        <v>19</v>
      </c>
      <c r="D33" s="651"/>
      <c r="E33" s="519">
        <v>1567</v>
      </c>
      <c r="F33" s="525">
        <v>2184</v>
      </c>
      <c r="G33" s="521">
        <f t="shared" si="0"/>
        <v>1747.2</v>
      </c>
      <c r="H33" s="521">
        <f t="shared" si="1"/>
        <v>180.20000000000005</v>
      </c>
      <c r="I33" s="521">
        <f t="shared" si="2"/>
        <v>54.060000000000016</v>
      </c>
      <c r="J33" s="522">
        <f t="shared" si="3"/>
        <v>1621.06</v>
      </c>
      <c r="N33" s="523"/>
    </row>
    <row r="34" spans="1:14" x14ac:dyDescent="0.2">
      <c r="A34" s="672"/>
      <c r="B34" s="518"/>
      <c r="C34" s="654" t="s">
        <v>20</v>
      </c>
      <c r="D34" s="654"/>
      <c r="E34" s="519">
        <v>713</v>
      </c>
      <c r="F34" s="525">
        <v>1316</v>
      </c>
      <c r="G34" s="521">
        <f t="shared" si="0"/>
        <v>1052.8</v>
      </c>
      <c r="H34" s="521">
        <f t="shared" si="1"/>
        <v>339.79999999999995</v>
      </c>
      <c r="I34" s="521">
        <f t="shared" si="2"/>
        <v>101.93999999999998</v>
      </c>
      <c r="J34" s="522">
        <f t="shared" si="3"/>
        <v>814.93999999999994</v>
      </c>
      <c r="N34" s="523"/>
    </row>
    <row r="35" spans="1:14" ht="13.5" thickBot="1" x14ac:dyDescent="0.25">
      <c r="A35" s="673"/>
      <c r="B35" s="526"/>
      <c r="C35" s="653" t="s">
        <v>21</v>
      </c>
      <c r="D35" s="653"/>
      <c r="E35" s="527">
        <v>777</v>
      </c>
      <c r="F35" s="528">
        <v>1267</v>
      </c>
      <c r="G35" s="529">
        <f t="shared" si="0"/>
        <v>1013.6</v>
      </c>
      <c r="H35" s="529">
        <f t="shared" si="1"/>
        <v>236.60000000000002</v>
      </c>
      <c r="I35" s="529">
        <f t="shared" si="2"/>
        <v>70.98</v>
      </c>
      <c r="J35" s="530">
        <f t="shared" si="3"/>
        <v>847.98</v>
      </c>
      <c r="N35" s="523"/>
    </row>
    <row r="36" spans="1:14" x14ac:dyDescent="0.2">
      <c r="A36" s="644" t="s">
        <v>182</v>
      </c>
      <c r="B36" s="531"/>
      <c r="C36" s="647" t="s">
        <v>183</v>
      </c>
      <c r="D36" s="647"/>
      <c r="E36" s="532"/>
      <c r="F36" s="533"/>
      <c r="G36" s="534"/>
      <c r="H36" s="534"/>
      <c r="I36" s="534"/>
      <c r="J36" s="535"/>
    </row>
    <row r="37" spans="1:14" x14ac:dyDescent="0.2">
      <c r="A37" s="645"/>
      <c r="B37" s="536"/>
      <c r="C37" s="648" t="s">
        <v>184</v>
      </c>
      <c r="D37" s="648"/>
      <c r="E37" s="537">
        <v>22</v>
      </c>
      <c r="F37" s="538">
        <v>5</v>
      </c>
      <c r="G37" s="539">
        <f t="shared" si="0"/>
        <v>4</v>
      </c>
      <c r="H37" s="539">
        <f t="shared" si="1"/>
        <v>-18</v>
      </c>
      <c r="I37" s="539">
        <f t="shared" si="2"/>
        <v>-5.4</v>
      </c>
      <c r="J37" s="540">
        <f t="shared" si="3"/>
        <v>16.600000000000001</v>
      </c>
      <c r="N37" s="523"/>
    </row>
    <row r="38" spans="1:14" x14ac:dyDescent="0.2">
      <c r="A38" s="645"/>
      <c r="B38" s="536"/>
      <c r="C38" s="649" t="s">
        <v>185</v>
      </c>
      <c r="D38" s="649"/>
      <c r="E38" s="537"/>
      <c r="F38" s="538"/>
      <c r="G38" s="539"/>
      <c r="H38" s="539"/>
      <c r="I38" s="539"/>
      <c r="J38" s="540"/>
      <c r="N38" s="523"/>
    </row>
    <row r="39" spans="1:14" x14ac:dyDescent="0.2">
      <c r="A39" s="645"/>
      <c r="B39" s="536"/>
      <c r="C39" s="648" t="s">
        <v>27</v>
      </c>
      <c r="D39" s="648"/>
      <c r="E39" s="537">
        <v>989</v>
      </c>
      <c r="F39" s="538">
        <v>1595</v>
      </c>
      <c r="G39" s="539">
        <f t="shared" si="0"/>
        <v>1276</v>
      </c>
      <c r="H39" s="539">
        <f t="shared" si="1"/>
        <v>287</v>
      </c>
      <c r="I39" s="539">
        <f t="shared" si="2"/>
        <v>86.1</v>
      </c>
      <c r="J39" s="540">
        <f t="shared" si="3"/>
        <v>1075.0999999999999</v>
      </c>
      <c r="N39" s="523"/>
    </row>
    <row r="40" spans="1:14" x14ac:dyDescent="0.2">
      <c r="A40" s="645"/>
      <c r="B40" s="536"/>
      <c r="C40" s="649" t="s">
        <v>186</v>
      </c>
      <c r="D40" s="649"/>
      <c r="E40" s="537"/>
      <c r="F40" s="538"/>
      <c r="G40" s="539"/>
      <c r="H40" s="539"/>
      <c r="I40" s="539"/>
      <c r="J40" s="540"/>
      <c r="N40" s="523"/>
    </row>
    <row r="41" spans="1:14" x14ac:dyDescent="0.2">
      <c r="A41" s="645"/>
      <c r="B41" s="536"/>
      <c r="C41" s="648" t="s">
        <v>26</v>
      </c>
      <c r="D41" s="648"/>
      <c r="E41" s="537">
        <v>299</v>
      </c>
      <c r="F41" s="538">
        <v>772</v>
      </c>
      <c r="G41" s="539">
        <f t="shared" si="0"/>
        <v>617.6</v>
      </c>
      <c r="H41" s="539">
        <f t="shared" si="1"/>
        <v>318.60000000000002</v>
      </c>
      <c r="I41" s="539">
        <f t="shared" si="2"/>
        <v>95.58</v>
      </c>
      <c r="J41" s="540">
        <f t="shared" si="3"/>
        <v>394.58</v>
      </c>
      <c r="N41" s="523"/>
    </row>
    <row r="42" spans="1:14" x14ac:dyDescent="0.2">
      <c r="A42" s="645"/>
      <c r="B42" s="536"/>
      <c r="C42" s="649" t="s">
        <v>187</v>
      </c>
      <c r="D42" s="649"/>
      <c r="E42" s="537"/>
      <c r="F42" s="538"/>
      <c r="G42" s="539"/>
      <c r="H42" s="539"/>
      <c r="I42" s="539"/>
      <c r="J42" s="540"/>
      <c r="N42" s="523"/>
    </row>
    <row r="43" spans="1:14" x14ac:dyDescent="0.2">
      <c r="A43" s="645"/>
      <c r="B43" s="536"/>
      <c r="C43" s="648" t="s">
        <v>31</v>
      </c>
      <c r="D43" s="648"/>
      <c r="E43" s="537">
        <v>879</v>
      </c>
      <c r="F43" s="541">
        <v>1670</v>
      </c>
      <c r="G43" s="539">
        <f t="shared" si="0"/>
        <v>1336</v>
      </c>
      <c r="H43" s="539">
        <f t="shared" si="1"/>
        <v>457</v>
      </c>
      <c r="I43" s="539">
        <f t="shared" si="2"/>
        <v>137.1</v>
      </c>
      <c r="J43" s="540">
        <f t="shared" si="3"/>
        <v>1016.1</v>
      </c>
      <c r="N43" s="523"/>
    </row>
    <row r="44" spans="1:14" x14ac:dyDescent="0.2">
      <c r="A44" s="645"/>
      <c r="B44" s="536"/>
      <c r="C44" s="649" t="s">
        <v>188</v>
      </c>
      <c r="D44" s="649"/>
      <c r="E44" s="537"/>
      <c r="F44" s="538"/>
      <c r="G44" s="539"/>
      <c r="H44" s="539"/>
      <c r="I44" s="539"/>
      <c r="J44" s="540"/>
      <c r="N44" s="523"/>
    </row>
    <row r="45" spans="1:14" x14ac:dyDescent="0.2">
      <c r="A45" s="645"/>
      <c r="B45" s="536"/>
      <c r="C45" s="648" t="s">
        <v>30</v>
      </c>
      <c r="D45" s="648"/>
      <c r="E45" s="537">
        <v>888</v>
      </c>
      <c r="F45" s="538">
        <v>1648</v>
      </c>
      <c r="G45" s="539">
        <f t="shared" si="0"/>
        <v>1318.4</v>
      </c>
      <c r="H45" s="539">
        <f t="shared" si="1"/>
        <v>430.40000000000009</v>
      </c>
      <c r="I45" s="539">
        <f t="shared" si="2"/>
        <v>129.12000000000003</v>
      </c>
      <c r="J45" s="540">
        <f t="shared" si="3"/>
        <v>1017.12</v>
      </c>
      <c r="N45" s="523"/>
    </row>
    <row r="46" spans="1:14" x14ac:dyDescent="0.2">
      <c r="A46" s="645"/>
      <c r="B46" s="536"/>
      <c r="C46" s="649" t="s">
        <v>189</v>
      </c>
      <c r="D46" s="649"/>
      <c r="E46" s="537"/>
      <c r="F46" s="538"/>
      <c r="G46" s="539"/>
      <c r="H46" s="539"/>
      <c r="I46" s="539"/>
      <c r="J46" s="540"/>
      <c r="N46" s="523"/>
    </row>
    <row r="47" spans="1:14" x14ac:dyDescent="0.2">
      <c r="A47" s="645"/>
      <c r="B47" s="536"/>
      <c r="C47" s="648" t="s">
        <v>28</v>
      </c>
      <c r="D47" s="648"/>
      <c r="E47" s="537">
        <v>948</v>
      </c>
      <c r="F47" s="538">
        <v>1418</v>
      </c>
      <c r="G47" s="539">
        <f t="shared" si="0"/>
        <v>1134.4000000000001</v>
      </c>
      <c r="H47" s="539">
        <f t="shared" si="1"/>
        <v>186.40000000000009</v>
      </c>
      <c r="I47" s="539">
        <f t="shared" si="2"/>
        <v>55.92000000000003</v>
      </c>
      <c r="J47" s="540">
        <f t="shared" si="3"/>
        <v>1003.9200000000001</v>
      </c>
      <c r="N47" s="523"/>
    </row>
    <row r="48" spans="1:14" x14ac:dyDescent="0.2">
      <c r="A48" s="645"/>
      <c r="B48" s="536"/>
      <c r="C48" s="649" t="s">
        <v>190</v>
      </c>
      <c r="D48" s="649"/>
      <c r="E48" s="537"/>
      <c r="F48" s="538"/>
      <c r="G48" s="539"/>
      <c r="H48" s="539"/>
      <c r="I48" s="539"/>
      <c r="J48" s="540"/>
      <c r="N48" s="523"/>
    </row>
    <row r="49" spans="1:14" ht="13.5" thickBot="1" x14ac:dyDescent="0.25">
      <c r="A49" s="646"/>
      <c r="B49" s="542"/>
      <c r="C49" s="650" t="s">
        <v>24</v>
      </c>
      <c r="D49" s="650"/>
      <c r="E49" s="543">
        <v>789</v>
      </c>
      <c r="F49" s="544">
        <v>1616</v>
      </c>
      <c r="G49" s="545">
        <f>F49*80/100</f>
        <v>1292.8</v>
      </c>
      <c r="H49" s="545">
        <f>G49-E49</f>
        <v>503.79999999999995</v>
      </c>
      <c r="I49" s="545">
        <f t="shared" si="2"/>
        <v>151.13999999999999</v>
      </c>
      <c r="J49" s="546">
        <f>E49+I49</f>
        <v>940.14</v>
      </c>
      <c r="N49" s="523"/>
    </row>
    <row r="50" spans="1:14" x14ac:dyDescent="0.2">
      <c r="A50" s="639" t="s">
        <v>191</v>
      </c>
      <c r="B50" s="547"/>
      <c r="C50" s="642" t="s">
        <v>192</v>
      </c>
      <c r="D50" s="642"/>
      <c r="E50" s="548"/>
      <c r="F50" s="549"/>
      <c r="G50" s="550"/>
      <c r="H50" s="550"/>
      <c r="I50" s="550"/>
      <c r="J50" s="551"/>
      <c r="N50" s="523"/>
    </row>
    <row r="51" spans="1:14" x14ac:dyDescent="0.2">
      <c r="A51" s="640"/>
      <c r="B51" s="552"/>
      <c r="C51" s="637" t="s">
        <v>32</v>
      </c>
      <c r="D51" s="637"/>
      <c r="E51" s="553">
        <v>3676</v>
      </c>
      <c r="F51" s="554">
        <v>6584</v>
      </c>
      <c r="G51" s="555">
        <f t="shared" ref="G51:G62" si="4">F51*80/100</f>
        <v>5267.2</v>
      </c>
      <c r="H51" s="555">
        <f t="shared" ref="H51:H62" si="5">G51-E51</f>
        <v>1591.1999999999998</v>
      </c>
      <c r="I51" s="555">
        <f t="shared" si="2"/>
        <v>477.3599999999999</v>
      </c>
      <c r="J51" s="556">
        <f t="shared" si="3"/>
        <v>4153.3599999999997</v>
      </c>
      <c r="N51" s="523"/>
    </row>
    <row r="52" spans="1:14" x14ac:dyDescent="0.2">
      <c r="A52" s="640"/>
      <c r="B52" s="552"/>
      <c r="C52" s="637" t="s">
        <v>34</v>
      </c>
      <c r="D52" s="637"/>
      <c r="E52" s="553">
        <v>786</v>
      </c>
      <c r="F52" s="554">
        <v>1187</v>
      </c>
      <c r="G52" s="555">
        <f t="shared" si="4"/>
        <v>949.6</v>
      </c>
      <c r="H52" s="555">
        <f t="shared" si="5"/>
        <v>163.60000000000002</v>
      </c>
      <c r="I52" s="555">
        <f t="shared" si="2"/>
        <v>49.080000000000013</v>
      </c>
      <c r="J52" s="556">
        <f t="shared" si="3"/>
        <v>835.08</v>
      </c>
      <c r="N52" s="523"/>
    </row>
    <row r="53" spans="1:14" x14ac:dyDescent="0.2">
      <c r="A53" s="640"/>
      <c r="B53" s="552"/>
      <c r="C53" s="638" t="s">
        <v>193</v>
      </c>
      <c r="D53" s="638"/>
      <c r="E53" s="553"/>
      <c r="F53" s="554"/>
      <c r="G53" s="555"/>
      <c r="H53" s="555"/>
      <c r="I53" s="555"/>
      <c r="J53" s="556"/>
      <c r="N53" s="523"/>
    </row>
    <row r="54" spans="1:14" x14ac:dyDescent="0.2">
      <c r="A54" s="640"/>
      <c r="B54" s="552"/>
      <c r="C54" s="637" t="s">
        <v>36</v>
      </c>
      <c r="D54" s="637"/>
      <c r="E54" s="553">
        <v>4252</v>
      </c>
      <c r="F54" s="557">
        <v>6631</v>
      </c>
      <c r="G54" s="555">
        <f t="shared" si="4"/>
        <v>5304.8</v>
      </c>
      <c r="H54" s="555">
        <f t="shared" si="5"/>
        <v>1052.8000000000002</v>
      </c>
      <c r="I54" s="555">
        <f t="shared" si="2"/>
        <v>315.84000000000009</v>
      </c>
      <c r="J54" s="556">
        <f t="shared" si="3"/>
        <v>4567.84</v>
      </c>
      <c r="N54" s="523"/>
    </row>
    <row r="55" spans="1:14" x14ac:dyDescent="0.2">
      <c r="A55" s="640"/>
      <c r="B55" s="552"/>
      <c r="C55" s="637" t="s">
        <v>37</v>
      </c>
      <c r="D55" s="637"/>
      <c r="E55" s="553">
        <v>5167</v>
      </c>
      <c r="F55" s="557">
        <v>8590</v>
      </c>
      <c r="G55" s="555">
        <f t="shared" si="4"/>
        <v>6872</v>
      </c>
      <c r="H55" s="555">
        <f t="shared" si="5"/>
        <v>1705</v>
      </c>
      <c r="I55" s="555">
        <f t="shared" si="2"/>
        <v>511.5</v>
      </c>
      <c r="J55" s="556">
        <f t="shared" si="3"/>
        <v>5678.5</v>
      </c>
      <c r="N55" s="523"/>
    </row>
    <row r="56" spans="1:14" x14ac:dyDescent="0.2">
      <c r="A56" s="640"/>
      <c r="B56" s="552"/>
      <c r="C56" s="638" t="s">
        <v>194</v>
      </c>
      <c r="D56" s="638"/>
      <c r="E56" s="553"/>
      <c r="F56" s="554"/>
      <c r="G56" s="555"/>
      <c r="H56" s="555"/>
      <c r="I56" s="555"/>
      <c r="J56" s="556"/>
      <c r="N56" s="523"/>
    </row>
    <row r="57" spans="1:14" x14ac:dyDescent="0.2">
      <c r="A57" s="640"/>
      <c r="B57" s="552"/>
      <c r="C57" s="637" t="s">
        <v>39</v>
      </c>
      <c r="D57" s="637"/>
      <c r="E57" s="553">
        <v>2567</v>
      </c>
      <c r="F57" s="554">
        <v>3617</v>
      </c>
      <c r="G57" s="555">
        <f t="shared" si="4"/>
        <v>2893.6</v>
      </c>
      <c r="H57" s="555">
        <f t="shared" si="5"/>
        <v>326.59999999999991</v>
      </c>
      <c r="I57" s="555">
        <f t="shared" si="2"/>
        <v>97.979999999999961</v>
      </c>
      <c r="J57" s="556">
        <f>E57+I57</f>
        <v>2664.98</v>
      </c>
      <c r="N57" s="523"/>
    </row>
    <row r="58" spans="1:14" x14ac:dyDescent="0.2">
      <c r="A58" s="640"/>
      <c r="B58" s="552"/>
      <c r="C58" s="638" t="s">
        <v>195</v>
      </c>
      <c r="D58" s="638"/>
      <c r="E58" s="553"/>
      <c r="F58" s="554"/>
      <c r="G58" s="555"/>
      <c r="H58" s="555"/>
      <c r="I58" s="555"/>
      <c r="J58" s="556"/>
    </row>
    <row r="59" spans="1:14" x14ac:dyDescent="0.2">
      <c r="A59" s="640"/>
      <c r="B59" s="552"/>
      <c r="C59" s="637" t="s">
        <v>35</v>
      </c>
      <c r="D59" s="637"/>
      <c r="E59" s="553">
        <v>2486</v>
      </c>
      <c r="F59" s="554">
        <v>3065</v>
      </c>
      <c r="G59" s="555">
        <f t="shared" si="4"/>
        <v>2452</v>
      </c>
      <c r="H59" s="555">
        <f t="shared" si="5"/>
        <v>-34</v>
      </c>
      <c r="I59" s="555">
        <f t="shared" si="2"/>
        <v>-10.199999999999999</v>
      </c>
      <c r="J59" s="556">
        <f t="shared" si="3"/>
        <v>2475.8000000000002</v>
      </c>
      <c r="N59" s="523"/>
    </row>
    <row r="60" spans="1:14" x14ac:dyDescent="0.2">
      <c r="A60" s="640"/>
      <c r="B60" s="552"/>
      <c r="C60" s="638" t="s">
        <v>196</v>
      </c>
      <c r="D60" s="638"/>
      <c r="E60" s="553"/>
      <c r="F60" s="554"/>
      <c r="G60" s="555"/>
      <c r="H60" s="555"/>
      <c r="I60" s="555"/>
      <c r="J60" s="556"/>
      <c r="N60" s="523"/>
    </row>
    <row r="61" spans="1:14" ht="13.5" thickBot="1" x14ac:dyDescent="0.25">
      <c r="A61" s="641"/>
      <c r="B61" s="558"/>
      <c r="C61" s="643" t="s">
        <v>38</v>
      </c>
      <c r="D61" s="643"/>
      <c r="E61" s="559">
        <v>773</v>
      </c>
      <c r="F61" s="560">
        <v>1385</v>
      </c>
      <c r="G61" s="561">
        <f t="shared" si="4"/>
        <v>1108</v>
      </c>
      <c r="H61" s="561">
        <f t="shared" si="5"/>
        <v>335</v>
      </c>
      <c r="I61" s="561">
        <f t="shared" si="2"/>
        <v>100.5</v>
      </c>
      <c r="J61" s="562">
        <f t="shared" si="3"/>
        <v>873.5</v>
      </c>
      <c r="N61" s="523"/>
    </row>
    <row r="62" spans="1:14" x14ac:dyDescent="0.2">
      <c r="C62" s="636" t="s">
        <v>197</v>
      </c>
      <c r="D62" s="636"/>
      <c r="E62" s="563">
        <f>SUM(E11:E61)</f>
        <v>59674</v>
      </c>
      <c r="F62" s="125">
        <f>SUM(F11:F61)</f>
        <v>109555</v>
      </c>
      <c r="G62" s="563">
        <f t="shared" si="4"/>
        <v>87644</v>
      </c>
      <c r="H62" s="563">
        <f t="shared" si="5"/>
        <v>27970</v>
      </c>
      <c r="I62" s="448">
        <f t="shared" si="2"/>
        <v>8391</v>
      </c>
      <c r="J62" s="564">
        <f t="shared" si="3"/>
        <v>68065</v>
      </c>
      <c r="N62" s="523"/>
    </row>
    <row r="64" spans="1:14" x14ac:dyDescent="0.2">
      <c r="A64" s="123" t="s">
        <v>198</v>
      </c>
    </row>
  </sheetData>
  <mergeCells count="66">
    <mergeCell ref="C4:D9"/>
    <mergeCell ref="E4:E9"/>
    <mergeCell ref="F4:F9"/>
    <mergeCell ref="G4:G9"/>
    <mergeCell ref="H4:H9"/>
    <mergeCell ref="I4:I9"/>
    <mergeCell ref="J4:J9"/>
    <mergeCell ref="A2:J3"/>
    <mergeCell ref="A4:B8"/>
    <mergeCell ref="C23:D23"/>
    <mergeCell ref="A10:A35"/>
    <mergeCell ref="C10:D10"/>
    <mergeCell ref="E10:J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35:D35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A36:A49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A50:A61"/>
    <mergeCell ref="C50:D50"/>
    <mergeCell ref="C51:D51"/>
    <mergeCell ref="C52:D52"/>
    <mergeCell ref="C53:D53"/>
    <mergeCell ref="C60:D60"/>
    <mergeCell ref="C61:D61"/>
    <mergeCell ref="C62:D62"/>
    <mergeCell ref="C54:D54"/>
    <mergeCell ref="C55:D55"/>
    <mergeCell ref="C56:D56"/>
    <mergeCell ref="C57:D57"/>
    <mergeCell ref="C58:D58"/>
    <mergeCell ref="C59:D59"/>
  </mergeCells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-0.249977111117893"/>
  </sheetPr>
  <dimension ref="AN1:AZ41"/>
  <sheetViews>
    <sheetView showGridLines="0" topLeftCell="AM1" zoomScale="90" zoomScaleNormal="90" workbookViewId="0">
      <selection activeCell="BC21" sqref="BC21"/>
    </sheetView>
  </sheetViews>
  <sheetFormatPr baseColWidth="10" defaultRowHeight="12.75" x14ac:dyDescent="0.2"/>
  <cols>
    <col min="1" max="38" width="0" style="123" hidden="1" customWidth="1"/>
    <col min="39" max="39" width="10.42578125" style="123" customWidth="1"/>
    <col min="40" max="40" width="26.28515625" style="123" customWidth="1"/>
    <col min="41" max="41" width="11.42578125" style="123" customWidth="1"/>
    <col min="42" max="42" width="11.42578125" style="123" collapsed="1"/>
    <col min="43" max="50" width="11.42578125" style="123"/>
    <col min="51" max="51" width="13" style="123" customWidth="1"/>
    <col min="52" max="52" width="15.5703125" style="123" customWidth="1"/>
    <col min="53" max="16384" width="11.42578125" style="123"/>
  </cols>
  <sheetData>
    <row r="1" spans="40:52" x14ac:dyDescent="0.2">
      <c r="AZ1" s="123" t="s">
        <v>123</v>
      </c>
    </row>
    <row r="2" spans="40:52" ht="12.75" customHeight="1" x14ac:dyDescent="0.2">
      <c r="AN2" s="602" t="s">
        <v>398</v>
      </c>
      <c r="AO2" s="681" t="s">
        <v>140</v>
      </c>
      <c r="AP2" s="681"/>
      <c r="AQ2" s="681"/>
      <c r="AR2" s="681"/>
      <c r="AS2" s="682" t="s">
        <v>3</v>
      </c>
      <c r="AT2" s="683"/>
      <c r="AU2" s="610" t="s">
        <v>134</v>
      </c>
      <c r="AV2" s="628"/>
      <c r="AW2" s="628"/>
      <c r="AX2" s="628"/>
      <c r="AY2" s="628"/>
      <c r="AZ2" s="628"/>
    </row>
    <row r="3" spans="40:52" ht="12.75" customHeight="1" x14ac:dyDescent="0.2">
      <c r="AN3" s="603"/>
      <c r="AO3" s="681"/>
      <c r="AP3" s="681"/>
      <c r="AQ3" s="681"/>
      <c r="AR3" s="681"/>
      <c r="AS3" s="684">
        <v>0.35</v>
      </c>
      <c r="AT3" s="685"/>
      <c r="AU3" s="610" t="s">
        <v>126</v>
      </c>
      <c r="AV3" s="628"/>
      <c r="AW3" s="628"/>
      <c r="AX3" s="628"/>
      <c r="AY3" s="628"/>
      <c r="AZ3" s="628"/>
    </row>
    <row r="4" spans="40:52" ht="22.5" customHeight="1" x14ac:dyDescent="0.2">
      <c r="AN4" s="104" t="s">
        <v>1</v>
      </c>
      <c r="AO4" s="610" t="s">
        <v>148</v>
      </c>
      <c r="AP4" s="628"/>
      <c r="AQ4" s="628"/>
      <c r="AR4" s="628"/>
      <c r="AS4" s="628"/>
      <c r="AT4" s="628"/>
      <c r="AU4" s="628"/>
      <c r="AV4" s="628"/>
      <c r="AW4" s="628"/>
      <c r="AX4" s="628"/>
      <c r="AY4" s="628"/>
      <c r="AZ4" s="628"/>
    </row>
    <row r="5" spans="40:52" ht="22.5" customHeight="1" x14ac:dyDescent="0.2">
      <c r="AN5" s="104" t="s">
        <v>2</v>
      </c>
      <c r="AO5" s="610" t="s">
        <v>149</v>
      </c>
      <c r="AP5" s="628"/>
      <c r="AQ5" s="628"/>
      <c r="AR5" s="628"/>
      <c r="AS5" s="628"/>
      <c r="AT5" s="628"/>
      <c r="AU5" s="628"/>
      <c r="AV5" s="628"/>
      <c r="AW5" s="628"/>
      <c r="AX5" s="628"/>
      <c r="AY5" s="628"/>
      <c r="AZ5" s="628"/>
    </row>
    <row r="7" spans="40:52" ht="15" customHeight="1" x14ac:dyDescent="0.2">
      <c r="AN7" s="694" t="s">
        <v>40</v>
      </c>
      <c r="AO7" s="694" t="s">
        <v>41</v>
      </c>
      <c r="AP7" s="686" t="s">
        <v>133</v>
      </c>
      <c r="AQ7" s="687"/>
      <c r="AR7" s="688"/>
      <c r="AS7" s="689" t="s">
        <v>43</v>
      </c>
      <c r="AT7" s="689"/>
      <c r="AU7" s="690" t="s">
        <v>96</v>
      </c>
      <c r="AV7" s="691"/>
      <c r="AW7" s="632" t="s">
        <v>81</v>
      </c>
      <c r="AX7" s="634" t="s">
        <v>82</v>
      </c>
      <c r="AY7" s="634" t="s">
        <v>83</v>
      </c>
      <c r="AZ7" s="692" t="s">
        <v>137</v>
      </c>
    </row>
    <row r="8" spans="40:52" x14ac:dyDescent="0.2">
      <c r="AN8" s="695"/>
      <c r="AO8" s="695"/>
      <c r="AP8" s="507" t="s">
        <v>82</v>
      </c>
      <c r="AQ8" s="507" t="s">
        <v>83</v>
      </c>
      <c r="AR8" s="507" t="s">
        <v>87</v>
      </c>
      <c r="AS8" s="399" t="s">
        <v>92</v>
      </c>
      <c r="AT8" s="399" t="s">
        <v>93</v>
      </c>
      <c r="AU8" s="399" t="s">
        <v>92</v>
      </c>
      <c r="AV8" s="399" t="s">
        <v>93</v>
      </c>
      <c r="AW8" s="633"/>
      <c r="AX8" s="635"/>
      <c r="AY8" s="635"/>
      <c r="AZ8" s="693"/>
    </row>
    <row r="9" spans="40:52" x14ac:dyDescent="0.2">
      <c r="AN9" s="79" t="s">
        <v>6</v>
      </c>
      <c r="AO9" s="79" t="s">
        <v>7</v>
      </c>
      <c r="AP9" s="508">
        <v>2174</v>
      </c>
      <c r="AQ9" s="508">
        <v>5003</v>
      </c>
      <c r="AR9" s="509">
        <f>AP9/AQ9</f>
        <v>0.43453927643413953</v>
      </c>
      <c r="AS9" s="375" t="str">
        <f>IF(AR9&lt;$AS$3,$AS$3-AR9,"-")</f>
        <v>-</v>
      </c>
      <c r="AT9" s="376" t="str">
        <f t="shared" ref="AT9:AT25" si="0">IFERROR(AS9*AQ9,"-")</f>
        <v>-</v>
      </c>
      <c r="AU9" s="375" t="str">
        <f>IFERROR(AS9*0.5,"-")</f>
        <v>-</v>
      </c>
      <c r="AV9" s="376" t="str">
        <f t="shared" ref="AV9:AV25" si="1">IFERROR(AU9*AQ9,"-")</f>
        <v>-</v>
      </c>
      <c r="AW9" s="378">
        <f>IFERROR((AU9+AR9),IF(AR9&gt;=35%,$AS$3))</f>
        <v>0.35</v>
      </c>
      <c r="AX9" s="386">
        <f t="shared" ref="AX9:AX25" si="2">IFERROR(AY9*AW9,"-")</f>
        <v>1751.05</v>
      </c>
      <c r="AY9" s="512">
        <f>+AQ9</f>
        <v>5003</v>
      </c>
      <c r="AZ9" s="380">
        <v>0.35</v>
      </c>
    </row>
    <row r="10" spans="40:52" x14ac:dyDescent="0.2">
      <c r="AN10" s="79" t="s">
        <v>8</v>
      </c>
      <c r="AO10" s="79" t="s">
        <v>7</v>
      </c>
      <c r="AP10" s="508">
        <v>816</v>
      </c>
      <c r="AQ10" s="508">
        <v>2285</v>
      </c>
      <c r="AR10" s="509">
        <f t="shared" ref="AR10:AR41" si="3">AP10/AQ10</f>
        <v>0.35711159737417941</v>
      </c>
      <c r="AS10" s="375" t="str">
        <f t="shared" ref="AS10:AS25" si="4">IF(AR10&lt;$AS$3,$AS$3-AR10,"-")</f>
        <v>-</v>
      </c>
      <c r="AT10" s="376" t="str">
        <f t="shared" si="0"/>
        <v>-</v>
      </c>
      <c r="AU10" s="375" t="str">
        <f t="shared" ref="AU10:AU41" si="5">IFERROR(AS10*0.5,"-")</f>
        <v>-</v>
      </c>
      <c r="AV10" s="376" t="str">
        <f t="shared" si="1"/>
        <v>-</v>
      </c>
      <c r="AW10" s="378">
        <f t="shared" ref="AW10:AW41" si="6">IFERROR((AU10+AR10),IF(AR10&gt;=35%,$AS$3))</f>
        <v>0.35</v>
      </c>
      <c r="AX10" s="386">
        <f t="shared" si="2"/>
        <v>799.75</v>
      </c>
      <c r="AY10" s="512">
        <f>+AQ10</f>
        <v>2285</v>
      </c>
      <c r="AZ10" s="380">
        <v>0.35</v>
      </c>
    </row>
    <row r="11" spans="40:52" x14ac:dyDescent="0.2">
      <c r="AN11" s="79" t="s">
        <v>9</v>
      </c>
      <c r="AO11" s="79" t="s">
        <v>7</v>
      </c>
      <c r="AP11" s="508">
        <v>872</v>
      </c>
      <c r="AQ11" s="508">
        <v>2289</v>
      </c>
      <c r="AR11" s="509">
        <f t="shared" si="3"/>
        <v>0.38095238095238093</v>
      </c>
      <c r="AS11" s="375" t="str">
        <f t="shared" si="4"/>
        <v>-</v>
      </c>
      <c r="AT11" s="376" t="str">
        <f t="shared" si="0"/>
        <v>-</v>
      </c>
      <c r="AU11" s="375" t="str">
        <f t="shared" si="5"/>
        <v>-</v>
      </c>
      <c r="AV11" s="376" t="str">
        <f t="shared" si="1"/>
        <v>-</v>
      </c>
      <c r="AW11" s="378">
        <f t="shared" si="6"/>
        <v>0.35</v>
      </c>
      <c r="AX11" s="386">
        <f t="shared" si="2"/>
        <v>801.15</v>
      </c>
      <c r="AY11" s="512">
        <f t="shared" ref="AY11:AY25" si="7">+AQ11</f>
        <v>2289</v>
      </c>
      <c r="AZ11" s="380">
        <v>0.35</v>
      </c>
    </row>
    <row r="12" spans="40:52" x14ac:dyDescent="0.2">
      <c r="AN12" s="79" t="s">
        <v>10</v>
      </c>
      <c r="AO12" s="79" t="s">
        <v>7</v>
      </c>
      <c r="AP12" s="508">
        <v>207</v>
      </c>
      <c r="AQ12" s="508">
        <v>284</v>
      </c>
      <c r="AR12" s="509">
        <f t="shared" si="3"/>
        <v>0.72887323943661975</v>
      </c>
      <c r="AS12" s="375" t="str">
        <f t="shared" si="4"/>
        <v>-</v>
      </c>
      <c r="AT12" s="376" t="str">
        <f t="shared" si="0"/>
        <v>-</v>
      </c>
      <c r="AU12" s="375" t="str">
        <f t="shared" si="5"/>
        <v>-</v>
      </c>
      <c r="AV12" s="376" t="str">
        <f t="shared" si="1"/>
        <v>-</v>
      </c>
      <c r="AW12" s="378">
        <f t="shared" si="6"/>
        <v>0.35</v>
      </c>
      <c r="AX12" s="386">
        <f t="shared" si="2"/>
        <v>99.399999999999991</v>
      </c>
      <c r="AY12" s="512">
        <f t="shared" si="7"/>
        <v>284</v>
      </c>
      <c r="AZ12" s="380">
        <v>0.35</v>
      </c>
    </row>
    <row r="13" spans="40:52" x14ac:dyDescent="0.2">
      <c r="AN13" s="79" t="s">
        <v>11</v>
      </c>
      <c r="AO13" s="79" t="s">
        <v>7</v>
      </c>
      <c r="AP13" s="508">
        <v>898</v>
      </c>
      <c r="AQ13" s="508">
        <v>2303</v>
      </c>
      <c r="AR13" s="509">
        <f t="shared" si="3"/>
        <v>0.38992618323925315</v>
      </c>
      <c r="AS13" s="375" t="str">
        <f t="shared" si="4"/>
        <v>-</v>
      </c>
      <c r="AT13" s="376" t="str">
        <f t="shared" si="0"/>
        <v>-</v>
      </c>
      <c r="AU13" s="375" t="str">
        <f t="shared" si="5"/>
        <v>-</v>
      </c>
      <c r="AV13" s="376" t="str">
        <f t="shared" si="1"/>
        <v>-</v>
      </c>
      <c r="AW13" s="378">
        <f t="shared" si="6"/>
        <v>0.35</v>
      </c>
      <c r="AX13" s="386">
        <f t="shared" si="2"/>
        <v>806.05</v>
      </c>
      <c r="AY13" s="512">
        <f t="shared" si="7"/>
        <v>2303</v>
      </c>
      <c r="AZ13" s="380">
        <v>0.35</v>
      </c>
    </row>
    <row r="14" spans="40:52" x14ac:dyDescent="0.2">
      <c r="AN14" s="79" t="s">
        <v>12</v>
      </c>
      <c r="AO14" s="79" t="s">
        <v>7</v>
      </c>
      <c r="AP14" s="508">
        <v>686</v>
      </c>
      <c r="AQ14" s="508">
        <v>1949</v>
      </c>
      <c r="AR14" s="509">
        <f t="shared" si="3"/>
        <v>0.35197537198563367</v>
      </c>
      <c r="AS14" s="375" t="str">
        <f t="shared" si="4"/>
        <v>-</v>
      </c>
      <c r="AT14" s="376" t="str">
        <f t="shared" si="0"/>
        <v>-</v>
      </c>
      <c r="AU14" s="375" t="str">
        <f t="shared" si="5"/>
        <v>-</v>
      </c>
      <c r="AV14" s="376" t="str">
        <f t="shared" si="1"/>
        <v>-</v>
      </c>
      <c r="AW14" s="378">
        <f t="shared" si="6"/>
        <v>0.35</v>
      </c>
      <c r="AX14" s="386">
        <f t="shared" si="2"/>
        <v>682.15</v>
      </c>
      <c r="AY14" s="512">
        <f t="shared" si="7"/>
        <v>1949</v>
      </c>
      <c r="AZ14" s="380">
        <v>0.35</v>
      </c>
    </row>
    <row r="15" spans="40:52" x14ac:dyDescent="0.2">
      <c r="AN15" s="79" t="s">
        <v>13</v>
      </c>
      <c r="AO15" s="79" t="s">
        <v>7</v>
      </c>
      <c r="AP15" s="508">
        <v>744</v>
      </c>
      <c r="AQ15" s="508">
        <v>2384</v>
      </c>
      <c r="AR15" s="509">
        <f t="shared" si="3"/>
        <v>0.31208053691275167</v>
      </c>
      <c r="AS15" s="375">
        <f>IF(AR15&lt;$AS$3,$AS$3-AR15,"-")</f>
        <v>3.7919463087248306E-2</v>
      </c>
      <c r="AT15" s="376">
        <f>IFERROR(AS15*AQ15,"-")</f>
        <v>90.399999999999963</v>
      </c>
      <c r="AU15" s="375">
        <f>IFERROR(AS15*0.5,"-")</f>
        <v>1.8959731543624153E-2</v>
      </c>
      <c r="AV15" s="376">
        <f>IFERROR(AU15*AQ15,"-")</f>
        <v>45.199999999999982</v>
      </c>
      <c r="AW15" s="378">
        <f>IFERROR((AU15+AR15),IF(AR15&gt;=35%,$AS$3))</f>
        <v>0.3310402684563758</v>
      </c>
      <c r="AX15" s="386">
        <f t="shared" si="2"/>
        <v>789.19999999999993</v>
      </c>
      <c r="AY15" s="512">
        <f t="shared" si="7"/>
        <v>2384</v>
      </c>
      <c r="AZ15" s="380">
        <v>0.35</v>
      </c>
    </row>
    <row r="16" spans="40:52" x14ac:dyDescent="0.2">
      <c r="AN16" s="79" t="s">
        <v>14</v>
      </c>
      <c r="AO16" s="79" t="s">
        <v>7</v>
      </c>
      <c r="AP16" s="508">
        <v>620</v>
      </c>
      <c r="AQ16" s="508">
        <v>1534</v>
      </c>
      <c r="AR16" s="509">
        <f t="shared" si="3"/>
        <v>0.4041720990873533</v>
      </c>
      <c r="AS16" s="375" t="str">
        <f t="shared" si="4"/>
        <v>-</v>
      </c>
      <c r="AT16" s="376" t="str">
        <f t="shared" si="0"/>
        <v>-</v>
      </c>
      <c r="AU16" s="375" t="str">
        <f t="shared" si="5"/>
        <v>-</v>
      </c>
      <c r="AV16" s="376" t="str">
        <f t="shared" si="1"/>
        <v>-</v>
      </c>
      <c r="AW16" s="378">
        <f t="shared" si="6"/>
        <v>0.35</v>
      </c>
      <c r="AX16" s="386">
        <f t="shared" si="2"/>
        <v>536.9</v>
      </c>
      <c r="AY16" s="512">
        <f t="shared" si="7"/>
        <v>1534</v>
      </c>
      <c r="AZ16" s="380">
        <v>0.35</v>
      </c>
    </row>
    <row r="17" spans="40:52" x14ac:dyDescent="0.2">
      <c r="AN17" s="79" t="s">
        <v>15</v>
      </c>
      <c r="AO17" s="79" t="s">
        <v>7</v>
      </c>
      <c r="AP17" s="508">
        <v>526</v>
      </c>
      <c r="AQ17" s="508">
        <v>278</v>
      </c>
      <c r="AR17" s="509">
        <f t="shared" si="3"/>
        <v>1.8920863309352518</v>
      </c>
      <c r="AS17" s="375" t="str">
        <f t="shared" si="4"/>
        <v>-</v>
      </c>
      <c r="AT17" s="376" t="str">
        <f t="shared" si="0"/>
        <v>-</v>
      </c>
      <c r="AU17" s="375" t="str">
        <f t="shared" si="5"/>
        <v>-</v>
      </c>
      <c r="AV17" s="376" t="str">
        <f t="shared" si="1"/>
        <v>-</v>
      </c>
      <c r="AW17" s="378">
        <f t="shared" si="6"/>
        <v>0.35</v>
      </c>
      <c r="AX17" s="386">
        <f t="shared" si="2"/>
        <v>97.3</v>
      </c>
      <c r="AY17" s="512">
        <f t="shared" si="7"/>
        <v>278</v>
      </c>
      <c r="AZ17" s="380">
        <v>0.35</v>
      </c>
    </row>
    <row r="18" spans="40:52" x14ac:dyDescent="0.2">
      <c r="AN18" s="79" t="s">
        <v>16</v>
      </c>
      <c r="AO18" s="79" t="s">
        <v>7</v>
      </c>
      <c r="AP18" s="508">
        <v>358</v>
      </c>
      <c r="AQ18" s="508">
        <v>910</v>
      </c>
      <c r="AR18" s="509">
        <f t="shared" si="3"/>
        <v>0.3934065934065934</v>
      </c>
      <c r="AS18" s="375" t="str">
        <f t="shared" si="4"/>
        <v>-</v>
      </c>
      <c r="AT18" s="376" t="str">
        <f t="shared" si="0"/>
        <v>-</v>
      </c>
      <c r="AU18" s="375" t="str">
        <f t="shared" si="5"/>
        <v>-</v>
      </c>
      <c r="AV18" s="376" t="str">
        <f t="shared" si="1"/>
        <v>-</v>
      </c>
      <c r="AW18" s="378">
        <f t="shared" si="6"/>
        <v>0.35</v>
      </c>
      <c r="AX18" s="386">
        <f t="shared" si="2"/>
        <v>318.5</v>
      </c>
      <c r="AY18" s="512">
        <f t="shared" si="7"/>
        <v>910</v>
      </c>
      <c r="AZ18" s="380">
        <v>0.35</v>
      </c>
    </row>
    <row r="19" spans="40:52" x14ac:dyDescent="0.2">
      <c r="AN19" s="79" t="s">
        <v>17</v>
      </c>
      <c r="AO19" s="79" t="s">
        <v>7</v>
      </c>
      <c r="AP19" s="508">
        <v>704</v>
      </c>
      <c r="AQ19" s="508">
        <v>1280</v>
      </c>
      <c r="AR19" s="509">
        <f t="shared" si="3"/>
        <v>0.55000000000000004</v>
      </c>
      <c r="AS19" s="375" t="str">
        <f t="shared" si="4"/>
        <v>-</v>
      </c>
      <c r="AT19" s="376" t="str">
        <f t="shared" si="0"/>
        <v>-</v>
      </c>
      <c r="AU19" s="375" t="str">
        <f t="shared" si="5"/>
        <v>-</v>
      </c>
      <c r="AV19" s="376" t="str">
        <f t="shared" si="1"/>
        <v>-</v>
      </c>
      <c r="AW19" s="378">
        <f t="shared" si="6"/>
        <v>0.35</v>
      </c>
      <c r="AX19" s="386">
        <f t="shared" si="2"/>
        <v>448</v>
      </c>
      <c r="AY19" s="512">
        <f t="shared" si="7"/>
        <v>1280</v>
      </c>
      <c r="AZ19" s="380">
        <v>0.35</v>
      </c>
    </row>
    <row r="20" spans="40:52" x14ac:dyDescent="0.2">
      <c r="AN20" s="79" t="s">
        <v>18</v>
      </c>
      <c r="AO20" s="79" t="s">
        <v>7</v>
      </c>
      <c r="AP20" s="508">
        <v>789</v>
      </c>
      <c r="AQ20" s="508">
        <v>1493</v>
      </c>
      <c r="AR20" s="509">
        <f t="shared" si="3"/>
        <v>0.52846617548559949</v>
      </c>
      <c r="AS20" s="375" t="str">
        <f t="shared" si="4"/>
        <v>-</v>
      </c>
      <c r="AT20" s="376" t="str">
        <f t="shared" si="0"/>
        <v>-</v>
      </c>
      <c r="AU20" s="375" t="str">
        <f t="shared" si="5"/>
        <v>-</v>
      </c>
      <c r="AV20" s="376" t="str">
        <f t="shared" si="1"/>
        <v>-</v>
      </c>
      <c r="AW20" s="378">
        <f t="shared" si="6"/>
        <v>0.35</v>
      </c>
      <c r="AX20" s="386">
        <f t="shared" si="2"/>
        <v>522.54999999999995</v>
      </c>
      <c r="AY20" s="512">
        <f t="shared" si="7"/>
        <v>1493</v>
      </c>
      <c r="AZ20" s="380">
        <v>0.35</v>
      </c>
    </row>
    <row r="21" spans="40:52" x14ac:dyDescent="0.2">
      <c r="AN21" s="79" t="s">
        <v>19</v>
      </c>
      <c r="AO21" s="79" t="s">
        <v>7</v>
      </c>
      <c r="AP21" s="508">
        <v>359</v>
      </c>
      <c r="AQ21" s="508">
        <v>732</v>
      </c>
      <c r="AR21" s="509">
        <f t="shared" si="3"/>
        <v>0.49043715846994534</v>
      </c>
      <c r="AS21" s="375" t="str">
        <f t="shared" si="4"/>
        <v>-</v>
      </c>
      <c r="AT21" s="376" t="str">
        <f t="shared" si="0"/>
        <v>-</v>
      </c>
      <c r="AU21" s="375" t="str">
        <f t="shared" si="5"/>
        <v>-</v>
      </c>
      <c r="AV21" s="376" t="str">
        <f t="shared" si="1"/>
        <v>-</v>
      </c>
      <c r="AW21" s="378">
        <f t="shared" si="6"/>
        <v>0.35</v>
      </c>
      <c r="AX21" s="386">
        <f t="shared" si="2"/>
        <v>256.2</v>
      </c>
      <c r="AY21" s="512">
        <f t="shared" si="7"/>
        <v>732</v>
      </c>
      <c r="AZ21" s="380">
        <v>0.35</v>
      </c>
    </row>
    <row r="22" spans="40:52" x14ac:dyDescent="0.2">
      <c r="AN22" s="79" t="s">
        <v>20</v>
      </c>
      <c r="AO22" s="79" t="s">
        <v>7</v>
      </c>
      <c r="AP22" s="508">
        <v>192</v>
      </c>
      <c r="AQ22" s="508">
        <v>438</v>
      </c>
      <c r="AR22" s="509">
        <f t="shared" si="3"/>
        <v>0.43835616438356162</v>
      </c>
      <c r="AS22" s="375" t="str">
        <f t="shared" si="4"/>
        <v>-</v>
      </c>
      <c r="AT22" s="376" t="str">
        <f t="shared" si="0"/>
        <v>-</v>
      </c>
      <c r="AU22" s="375" t="str">
        <f t="shared" si="5"/>
        <v>-</v>
      </c>
      <c r="AV22" s="376" t="str">
        <f t="shared" si="1"/>
        <v>-</v>
      </c>
      <c r="AW22" s="378">
        <f t="shared" si="6"/>
        <v>0.35</v>
      </c>
      <c r="AX22" s="386">
        <f t="shared" si="2"/>
        <v>153.29999999999998</v>
      </c>
      <c r="AY22" s="512">
        <f t="shared" si="7"/>
        <v>438</v>
      </c>
      <c r="AZ22" s="380">
        <v>0.35</v>
      </c>
    </row>
    <row r="23" spans="40:52" x14ac:dyDescent="0.2">
      <c r="AN23" s="79" t="s">
        <v>21</v>
      </c>
      <c r="AO23" s="79" t="s">
        <v>7</v>
      </c>
      <c r="AP23" s="508">
        <v>193</v>
      </c>
      <c r="AQ23" s="508">
        <v>443</v>
      </c>
      <c r="AR23" s="509">
        <f t="shared" si="3"/>
        <v>0.43566591422121898</v>
      </c>
      <c r="AS23" s="375" t="str">
        <f t="shared" si="4"/>
        <v>-</v>
      </c>
      <c r="AT23" s="376" t="str">
        <f t="shared" si="0"/>
        <v>-</v>
      </c>
      <c r="AU23" s="375" t="str">
        <f t="shared" si="5"/>
        <v>-</v>
      </c>
      <c r="AV23" s="376" t="str">
        <f t="shared" si="1"/>
        <v>-</v>
      </c>
      <c r="AW23" s="378">
        <f t="shared" si="6"/>
        <v>0.35</v>
      </c>
      <c r="AX23" s="386">
        <f t="shared" si="2"/>
        <v>155.04999999999998</v>
      </c>
      <c r="AY23" s="512">
        <f t="shared" si="7"/>
        <v>443</v>
      </c>
      <c r="AZ23" s="380">
        <v>0.35</v>
      </c>
    </row>
    <row r="24" spans="40:52" x14ac:dyDescent="0.2">
      <c r="AN24" s="79" t="s">
        <v>22</v>
      </c>
      <c r="AO24" s="79" t="s">
        <v>7</v>
      </c>
      <c r="AP24" s="508">
        <v>142</v>
      </c>
      <c r="AQ24" s="508">
        <v>285</v>
      </c>
      <c r="AR24" s="509">
        <f t="shared" si="3"/>
        <v>0.49824561403508771</v>
      </c>
      <c r="AS24" s="375" t="str">
        <f t="shared" si="4"/>
        <v>-</v>
      </c>
      <c r="AT24" s="376" t="str">
        <f t="shared" si="0"/>
        <v>-</v>
      </c>
      <c r="AU24" s="375" t="str">
        <f t="shared" si="5"/>
        <v>-</v>
      </c>
      <c r="AV24" s="376" t="str">
        <f t="shared" si="1"/>
        <v>-</v>
      </c>
      <c r="AW24" s="378">
        <f t="shared" si="6"/>
        <v>0.35</v>
      </c>
      <c r="AX24" s="386">
        <f t="shared" si="2"/>
        <v>99.75</v>
      </c>
      <c r="AY24" s="512">
        <f t="shared" si="7"/>
        <v>285</v>
      </c>
      <c r="AZ24" s="380">
        <v>0.35</v>
      </c>
    </row>
    <row r="25" spans="40:52" x14ac:dyDescent="0.2">
      <c r="AN25" s="79" t="s">
        <v>23</v>
      </c>
      <c r="AO25" s="79" t="s">
        <v>7</v>
      </c>
      <c r="AP25" s="508">
        <v>331</v>
      </c>
      <c r="AQ25" s="508">
        <v>728</v>
      </c>
      <c r="AR25" s="509">
        <f>AP25/AQ25</f>
        <v>0.45467032967032966</v>
      </c>
      <c r="AS25" s="375" t="str">
        <f t="shared" si="4"/>
        <v>-</v>
      </c>
      <c r="AT25" s="376" t="str">
        <f t="shared" si="0"/>
        <v>-</v>
      </c>
      <c r="AU25" s="375" t="str">
        <f t="shared" si="5"/>
        <v>-</v>
      </c>
      <c r="AV25" s="376" t="str">
        <f t="shared" si="1"/>
        <v>-</v>
      </c>
      <c r="AW25" s="378">
        <f t="shared" si="6"/>
        <v>0.35</v>
      </c>
      <c r="AX25" s="386">
        <f t="shared" si="2"/>
        <v>254.79999999999998</v>
      </c>
      <c r="AY25" s="512">
        <f t="shared" si="7"/>
        <v>728</v>
      </c>
      <c r="AZ25" s="380">
        <v>0.35</v>
      </c>
    </row>
    <row r="26" spans="40:52" x14ac:dyDescent="0.2">
      <c r="AN26" s="343"/>
      <c r="AO26" s="344" t="s">
        <v>7</v>
      </c>
      <c r="AP26" s="403">
        <f>SUM(AP9:AP25)</f>
        <v>10611</v>
      </c>
      <c r="AQ26" s="403">
        <f>SUM(AQ9:AQ25)</f>
        <v>24618</v>
      </c>
      <c r="AR26" s="404">
        <f>AP26/AQ26</f>
        <v>0.43102607847916158</v>
      </c>
      <c r="AS26" s="385"/>
      <c r="AT26" s="385"/>
      <c r="AU26" s="385"/>
      <c r="AV26" s="385"/>
      <c r="AW26" s="385"/>
      <c r="AX26" s="385"/>
      <c r="AY26" s="386"/>
      <c r="AZ26" s="386"/>
    </row>
    <row r="27" spans="40:52" x14ac:dyDescent="0.2">
      <c r="AN27" s="79" t="s">
        <v>24</v>
      </c>
      <c r="AO27" s="79" t="s">
        <v>25</v>
      </c>
      <c r="AP27" s="508">
        <v>173</v>
      </c>
      <c r="AQ27" s="508">
        <v>447</v>
      </c>
      <c r="AR27" s="509">
        <f t="shared" si="3"/>
        <v>0.38702460850111858</v>
      </c>
      <c r="AS27" s="375" t="s">
        <v>74</v>
      </c>
      <c r="AT27" s="376" t="str">
        <f t="shared" ref="AT27:AT33" si="8">IFERROR(AS27*AQ27,"-")</f>
        <v>-</v>
      </c>
      <c r="AU27" s="375" t="str">
        <f t="shared" si="5"/>
        <v>-</v>
      </c>
      <c r="AV27" s="376" t="str">
        <f t="shared" ref="AV27:AV33" si="9">IFERROR(AU27*AQ27,"-")</f>
        <v>-</v>
      </c>
      <c r="AW27" s="378">
        <f t="shared" si="6"/>
        <v>0.35</v>
      </c>
      <c r="AX27" s="386">
        <f t="shared" ref="AX27:AX30" si="10">IFERROR(AY27*AW27,"-")</f>
        <v>156.44999999999999</v>
      </c>
      <c r="AY27" s="386">
        <f>+AQ27</f>
        <v>447</v>
      </c>
      <c r="AZ27" s="380">
        <v>0.35</v>
      </c>
    </row>
    <row r="28" spans="40:52" x14ac:dyDescent="0.2">
      <c r="AN28" s="79" t="s">
        <v>26</v>
      </c>
      <c r="AO28" s="79" t="s">
        <v>25</v>
      </c>
      <c r="AP28" s="508">
        <v>102</v>
      </c>
      <c r="AQ28" s="508">
        <v>244</v>
      </c>
      <c r="AR28" s="509">
        <f t="shared" si="3"/>
        <v>0.41803278688524592</v>
      </c>
      <c r="AS28" s="375" t="s">
        <v>74</v>
      </c>
      <c r="AT28" s="376" t="str">
        <f t="shared" si="8"/>
        <v>-</v>
      </c>
      <c r="AU28" s="375" t="str">
        <f t="shared" si="5"/>
        <v>-</v>
      </c>
      <c r="AV28" s="376" t="str">
        <f t="shared" si="9"/>
        <v>-</v>
      </c>
      <c r="AW28" s="378">
        <f t="shared" si="6"/>
        <v>0.35</v>
      </c>
      <c r="AX28" s="386">
        <f t="shared" si="10"/>
        <v>85.399999999999991</v>
      </c>
      <c r="AY28" s="386">
        <f t="shared" ref="AY28:AY33" si="11">+AQ28</f>
        <v>244</v>
      </c>
      <c r="AZ28" s="380">
        <v>0.35</v>
      </c>
    </row>
    <row r="29" spans="40:52" x14ac:dyDescent="0.2">
      <c r="AN29" s="79" t="s">
        <v>27</v>
      </c>
      <c r="AO29" s="79" t="s">
        <v>25</v>
      </c>
      <c r="AP29" s="508">
        <v>389</v>
      </c>
      <c r="AQ29" s="508">
        <v>435</v>
      </c>
      <c r="AR29" s="509">
        <f t="shared" si="3"/>
        <v>0.89425287356321836</v>
      </c>
      <c r="AS29" s="375" t="s">
        <v>74</v>
      </c>
      <c r="AT29" s="376" t="str">
        <f t="shared" si="8"/>
        <v>-</v>
      </c>
      <c r="AU29" s="375" t="str">
        <f t="shared" si="5"/>
        <v>-</v>
      </c>
      <c r="AV29" s="376" t="str">
        <f t="shared" si="9"/>
        <v>-</v>
      </c>
      <c r="AW29" s="378">
        <f t="shared" si="6"/>
        <v>0.35</v>
      </c>
      <c r="AX29" s="386">
        <f t="shared" si="10"/>
        <v>152.25</v>
      </c>
      <c r="AY29" s="386">
        <f t="shared" si="11"/>
        <v>435</v>
      </c>
      <c r="AZ29" s="380">
        <v>0.35</v>
      </c>
    </row>
    <row r="30" spans="40:52" x14ac:dyDescent="0.2">
      <c r="AN30" s="79" t="s">
        <v>28</v>
      </c>
      <c r="AO30" s="79" t="s">
        <v>25</v>
      </c>
      <c r="AP30" s="508">
        <v>194</v>
      </c>
      <c r="AQ30" s="508">
        <v>436</v>
      </c>
      <c r="AR30" s="509">
        <f t="shared" si="3"/>
        <v>0.44495412844036697</v>
      </c>
      <c r="AS30" s="375" t="s">
        <v>74</v>
      </c>
      <c r="AT30" s="376" t="str">
        <f t="shared" si="8"/>
        <v>-</v>
      </c>
      <c r="AU30" s="375" t="str">
        <f t="shared" si="5"/>
        <v>-</v>
      </c>
      <c r="AV30" s="376" t="str">
        <f t="shared" si="9"/>
        <v>-</v>
      </c>
      <c r="AW30" s="378">
        <f t="shared" si="6"/>
        <v>0.35</v>
      </c>
      <c r="AX30" s="386">
        <f t="shared" si="10"/>
        <v>152.6</v>
      </c>
      <c r="AY30" s="386">
        <f t="shared" si="11"/>
        <v>436</v>
      </c>
      <c r="AZ30" s="380">
        <v>0.35</v>
      </c>
    </row>
    <row r="31" spans="40:52" x14ac:dyDescent="0.2">
      <c r="AN31" s="79" t="s">
        <v>29</v>
      </c>
      <c r="AO31" s="79" t="s">
        <v>25</v>
      </c>
      <c r="AP31" s="508" t="s">
        <v>74</v>
      </c>
      <c r="AQ31" s="508" t="s">
        <v>74</v>
      </c>
      <c r="AR31" s="509">
        <v>1</v>
      </c>
      <c r="AS31" s="375" t="s">
        <v>74</v>
      </c>
      <c r="AT31" s="376" t="str">
        <f t="shared" si="8"/>
        <v>-</v>
      </c>
      <c r="AU31" s="375" t="str">
        <f t="shared" si="5"/>
        <v>-</v>
      </c>
      <c r="AV31" s="376" t="str">
        <f t="shared" si="9"/>
        <v>-</v>
      </c>
      <c r="AW31" s="378">
        <f t="shared" si="6"/>
        <v>0.35</v>
      </c>
      <c r="AX31" s="386" t="str">
        <f>IFERROR(AY31*AW31,"-")</f>
        <v>-</v>
      </c>
      <c r="AY31" s="386" t="str">
        <f t="shared" si="11"/>
        <v>-</v>
      </c>
      <c r="AZ31" s="380">
        <v>0.35</v>
      </c>
    </row>
    <row r="32" spans="40:52" x14ac:dyDescent="0.2">
      <c r="AN32" s="79" t="s">
        <v>30</v>
      </c>
      <c r="AO32" s="79" t="s">
        <v>25</v>
      </c>
      <c r="AP32" s="508">
        <v>264</v>
      </c>
      <c r="AQ32" s="508">
        <v>439</v>
      </c>
      <c r="AR32" s="509">
        <f t="shared" si="3"/>
        <v>0.60136674259681089</v>
      </c>
      <c r="AS32" s="375" t="s">
        <v>74</v>
      </c>
      <c r="AT32" s="376" t="str">
        <f t="shared" si="8"/>
        <v>-</v>
      </c>
      <c r="AU32" s="375" t="str">
        <f t="shared" si="5"/>
        <v>-</v>
      </c>
      <c r="AV32" s="376" t="str">
        <f t="shared" si="9"/>
        <v>-</v>
      </c>
      <c r="AW32" s="378">
        <f t="shared" si="6"/>
        <v>0.35</v>
      </c>
      <c r="AX32" s="386">
        <f t="shared" ref="AX32:AX33" si="12">IFERROR(AY32*AW32,"-")</f>
        <v>153.64999999999998</v>
      </c>
      <c r="AY32" s="386">
        <f t="shared" si="11"/>
        <v>439</v>
      </c>
      <c r="AZ32" s="380">
        <v>0.35</v>
      </c>
    </row>
    <row r="33" spans="40:52" x14ac:dyDescent="0.2">
      <c r="AN33" s="79" t="s">
        <v>31</v>
      </c>
      <c r="AO33" s="79" t="s">
        <v>25</v>
      </c>
      <c r="AP33" s="508">
        <v>202</v>
      </c>
      <c r="AQ33" s="508">
        <v>380</v>
      </c>
      <c r="AR33" s="509">
        <f t="shared" si="3"/>
        <v>0.53157894736842104</v>
      </c>
      <c r="AS33" s="375" t="s">
        <v>74</v>
      </c>
      <c r="AT33" s="376" t="str">
        <f t="shared" si="8"/>
        <v>-</v>
      </c>
      <c r="AU33" s="375" t="str">
        <f t="shared" si="5"/>
        <v>-</v>
      </c>
      <c r="AV33" s="376" t="str">
        <f t="shared" si="9"/>
        <v>-</v>
      </c>
      <c r="AW33" s="378">
        <f t="shared" si="6"/>
        <v>0.35</v>
      </c>
      <c r="AX33" s="386">
        <f t="shared" si="12"/>
        <v>133</v>
      </c>
      <c r="AY33" s="386">
        <f t="shared" si="11"/>
        <v>380</v>
      </c>
      <c r="AZ33" s="380">
        <v>0.35</v>
      </c>
    </row>
    <row r="34" spans="40:52" x14ac:dyDescent="0.2">
      <c r="AN34" s="343"/>
      <c r="AO34" s="344" t="s">
        <v>25</v>
      </c>
      <c r="AP34" s="403">
        <f>SUM(AP27:AP33)</f>
        <v>1324</v>
      </c>
      <c r="AQ34" s="403">
        <f>SUM(AQ27:AQ33)</f>
        <v>2381</v>
      </c>
      <c r="AR34" s="404">
        <f>AP34/AQ34</f>
        <v>0.5560688786224276</v>
      </c>
      <c r="AS34" s="385"/>
      <c r="AT34" s="385"/>
      <c r="AU34" s="385"/>
      <c r="AV34" s="385"/>
      <c r="AW34" s="385"/>
      <c r="AX34" s="394"/>
      <c r="AY34" s="394"/>
      <c r="AZ34" s="386"/>
    </row>
    <row r="35" spans="40:52" x14ac:dyDescent="0.2">
      <c r="AN35" s="79" t="s">
        <v>32</v>
      </c>
      <c r="AO35" s="79" t="s">
        <v>33</v>
      </c>
      <c r="AP35" s="508">
        <v>1424</v>
      </c>
      <c r="AQ35" s="508">
        <v>2667</v>
      </c>
      <c r="AR35" s="509">
        <f t="shared" si="3"/>
        <v>0.53393325834270711</v>
      </c>
      <c r="AS35" s="375" t="s">
        <v>74</v>
      </c>
      <c r="AT35" s="376" t="str">
        <f t="shared" ref="AT35:AT41" si="13">IFERROR(AS35*AQ35,"-")</f>
        <v>-</v>
      </c>
      <c r="AU35" s="375" t="str">
        <f t="shared" si="5"/>
        <v>-</v>
      </c>
      <c r="AV35" s="376" t="str">
        <f t="shared" ref="AV35:AV41" si="14">IFERROR(AU35*AQ35,"-")</f>
        <v>-</v>
      </c>
      <c r="AW35" s="378">
        <f t="shared" si="6"/>
        <v>0.35</v>
      </c>
      <c r="AX35" s="386">
        <f t="shared" ref="AX35:AX41" si="15">IFERROR(AY35*AW35,"-")</f>
        <v>933.44999999999993</v>
      </c>
      <c r="AY35" s="386">
        <f>+AQ35</f>
        <v>2667</v>
      </c>
      <c r="AZ35" s="380">
        <v>0.35</v>
      </c>
    </row>
    <row r="36" spans="40:52" x14ac:dyDescent="0.2">
      <c r="AN36" s="79" t="s">
        <v>34</v>
      </c>
      <c r="AO36" s="79" t="s">
        <v>33</v>
      </c>
      <c r="AP36" s="508">
        <v>234</v>
      </c>
      <c r="AQ36" s="508">
        <v>315</v>
      </c>
      <c r="AR36" s="509">
        <f t="shared" si="3"/>
        <v>0.74285714285714288</v>
      </c>
      <c r="AS36" s="375" t="s">
        <v>74</v>
      </c>
      <c r="AT36" s="376" t="str">
        <f t="shared" si="13"/>
        <v>-</v>
      </c>
      <c r="AU36" s="375" t="str">
        <f t="shared" si="5"/>
        <v>-</v>
      </c>
      <c r="AV36" s="376" t="str">
        <f t="shared" si="14"/>
        <v>-</v>
      </c>
      <c r="AW36" s="378">
        <f t="shared" si="6"/>
        <v>0.35</v>
      </c>
      <c r="AX36" s="386">
        <f t="shared" si="15"/>
        <v>110.25</v>
      </c>
      <c r="AY36" s="386">
        <f t="shared" ref="AY36:AY41" si="16">+AQ36</f>
        <v>315</v>
      </c>
      <c r="AZ36" s="380">
        <v>0.35</v>
      </c>
    </row>
    <row r="37" spans="40:52" x14ac:dyDescent="0.2">
      <c r="AN37" s="79" t="s">
        <v>35</v>
      </c>
      <c r="AO37" s="79" t="s">
        <v>33</v>
      </c>
      <c r="AP37" s="508">
        <v>501</v>
      </c>
      <c r="AQ37" s="508">
        <v>1016</v>
      </c>
      <c r="AR37" s="509">
        <f t="shared" si="3"/>
        <v>0.49311023622047245</v>
      </c>
      <c r="AS37" s="375" t="s">
        <v>74</v>
      </c>
      <c r="AT37" s="376" t="str">
        <f t="shared" si="13"/>
        <v>-</v>
      </c>
      <c r="AU37" s="375" t="str">
        <f t="shared" si="5"/>
        <v>-</v>
      </c>
      <c r="AV37" s="376" t="str">
        <f t="shared" si="14"/>
        <v>-</v>
      </c>
      <c r="AW37" s="378">
        <f t="shared" si="6"/>
        <v>0.35</v>
      </c>
      <c r="AX37" s="386">
        <f t="shared" si="15"/>
        <v>355.59999999999997</v>
      </c>
      <c r="AY37" s="386">
        <f t="shared" si="16"/>
        <v>1016</v>
      </c>
      <c r="AZ37" s="380">
        <v>0.35</v>
      </c>
    </row>
    <row r="38" spans="40:52" x14ac:dyDescent="0.2">
      <c r="AN38" s="79" t="s">
        <v>36</v>
      </c>
      <c r="AO38" s="79" t="s">
        <v>33</v>
      </c>
      <c r="AP38" s="508">
        <v>894</v>
      </c>
      <c r="AQ38" s="508">
        <v>2174</v>
      </c>
      <c r="AR38" s="509">
        <f t="shared" si="3"/>
        <v>0.41122355105795766</v>
      </c>
      <c r="AS38" s="375" t="s">
        <v>74</v>
      </c>
      <c r="AT38" s="376" t="str">
        <f t="shared" si="13"/>
        <v>-</v>
      </c>
      <c r="AU38" s="375" t="str">
        <f t="shared" si="5"/>
        <v>-</v>
      </c>
      <c r="AV38" s="376" t="str">
        <f t="shared" si="14"/>
        <v>-</v>
      </c>
      <c r="AW38" s="378">
        <f t="shared" si="6"/>
        <v>0.35</v>
      </c>
      <c r="AX38" s="386">
        <f t="shared" si="15"/>
        <v>760.9</v>
      </c>
      <c r="AY38" s="386">
        <f t="shared" si="16"/>
        <v>2174</v>
      </c>
      <c r="AZ38" s="380">
        <v>0.35</v>
      </c>
    </row>
    <row r="39" spans="40:52" x14ac:dyDescent="0.2">
      <c r="AN39" s="79" t="s">
        <v>37</v>
      </c>
      <c r="AO39" s="79" t="s">
        <v>33</v>
      </c>
      <c r="AP39" s="508">
        <v>1163</v>
      </c>
      <c r="AQ39" s="508">
        <v>2252</v>
      </c>
      <c r="AR39" s="509">
        <f t="shared" si="3"/>
        <v>0.51642984014209592</v>
      </c>
      <c r="AS39" s="375" t="s">
        <v>74</v>
      </c>
      <c r="AT39" s="376" t="str">
        <f t="shared" si="13"/>
        <v>-</v>
      </c>
      <c r="AU39" s="375" t="str">
        <f t="shared" si="5"/>
        <v>-</v>
      </c>
      <c r="AV39" s="376" t="str">
        <f t="shared" si="14"/>
        <v>-</v>
      </c>
      <c r="AW39" s="378">
        <f t="shared" si="6"/>
        <v>0.35</v>
      </c>
      <c r="AX39" s="386">
        <f t="shared" si="15"/>
        <v>788.19999999999993</v>
      </c>
      <c r="AY39" s="386">
        <f t="shared" si="16"/>
        <v>2252</v>
      </c>
      <c r="AZ39" s="380">
        <v>0.35</v>
      </c>
    </row>
    <row r="40" spans="40:52" x14ac:dyDescent="0.2">
      <c r="AN40" s="79" t="s">
        <v>38</v>
      </c>
      <c r="AO40" s="79" t="s">
        <v>33</v>
      </c>
      <c r="AP40" s="508">
        <v>177</v>
      </c>
      <c r="AQ40" s="508">
        <v>396</v>
      </c>
      <c r="AR40" s="509">
        <f t="shared" si="3"/>
        <v>0.44696969696969696</v>
      </c>
      <c r="AS40" s="375" t="s">
        <v>74</v>
      </c>
      <c r="AT40" s="376" t="str">
        <f t="shared" si="13"/>
        <v>-</v>
      </c>
      <c r="AU40" s="375" t="str">
        <f t="shared" si="5"/>
        <v>-</v>
      </c>
      <c r="AV40" s="376" t="str">
        <f t="shared" si="14"/>
        <v>-</v>
      </c>
      <c r="AW40" s="378">
        <f t="shared" si="6"/>
        <v>0.35</v>
      </c>
      <c r="AX40" s="386">
        <f t="shared" si="15"/>
        <v>138.6</v>
      </c>
      <c r="AY40" s="386">
        <f t="shared" si="16"/>
        <v>396</v>
      </c>
      <c r="AZ40" s="380">
        <v>0.35</v>
      </c>
    </row>
    <row r="41" spans="40:52" x14ac:dyDescent="0.2">
      <c r="AN41" s="79" t="s">
        <v>39</v>
      </c>
      <c r="AO41" s="79" t="s">
        <v>33</v>
      </c>
      <c r="AP41" s="508">
        <v>556</v>
      </c>
      <c r="AQ41" s="508">
        <v>1098</v>
      </c>
      <c r="AR41" s="509">
        <f t="shared" si="3"/>
        <v>0.50637522768670307</v>
      </c>
      <c r="AS41" s="375" t="s">
        <v>74</v>
      </c>
      <c r="AT41" s="376" t="str">
        <f t="shared" si="13"/>
        <v>-</v>
      </c>
      <c r="AU41" s="375" t="str">
        <f t="shared" si="5"/>
        <v>-</v>
      </c>
      <c r="AV41" s="376" t="str">
        <f t="shared" si="14"/>
        <v>-</v>
      </c>
      <c r="AW41" s="378">
        <f t="shared" si="6"/>
        <v>0.35</v>
      </c>
      <c r="AX41" s="386">
        <f t="shared" si="15"/>
        <v>384.29999999999995</v>
      </c>
      <c r="AY41" s="386">
        <f t="shared" si="16"/>
        <v>1098</v>
      </c>
      <c r="AZ41" s="380">
        <v>0.35</v>
      </c>
    </row>
  </sheetData>
  <mergeCells count="17">
    <mergeCell ref="AO7:AO8"/>
    <mergeCell ref="AN2:AN3"/>
    <mergeCell ref="AO2:AR3"/>
    <mergeCell ref="AS2:AT2"/>
    <mergeCell ref="AS3:AT3"/>
    <mergeCell ref="AP7:AR7"/>
    <mergeCell ref="AS7:AT7"/>
    <mergeCell ref="AO4:AZ4"/>
    <mergeCell ref="AO5:AZ5"/>
    <mergeCell ref="AU7:AV7"/>
    <mergeCell ref="AW7:AW8"/>
    <mergeCell ref="AU2:AZ2"/>
    <mergeCell ref="AU3:AZ3"/>
    <mergeCell ref="AZ7:AZ8"/>
    <mergeCell ref="AX7:AX8"/>
    <mergeCell ref="AY7:AY8"/>
    <mergeCell ref="AN7:AN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G2:BU41"/>
  <sheetViews>
    <sheetView showGridLines="0" topLeftCell="BF1" zoomScaleNormal="100" workbookViewId="0">
      <selection activeCell="BW9" sqref="BW9"/>
    </sheetView>
  </sheetViews>
  <sheetFormatPr baseColWidth="10" defaultRowHeight="15" x14ac:dyDescent="0.25"/>
  <cols>
    <col min="1" max="57" width="0" hidden="1" customWidth="1"/>
    <col min="58" max="58" width="2.85546875" customWidth="1"/>
    <col min="59" max="59" width="32" customWidth="1"/>
    <col min="60" max="60" width="11.42578125" customWidth="1"/>
    <col min="61" max="61" width="12.140625" customWidth="1" collapsed="1"/>
    <col min="62" max="68" width="12.140625" customWidth="1"/>
    <col min="69" max="70" width="12.140625" hidden="1" customWidth="1"/>
  </cols>
  <sheetData>
    <row r="2" spans="59:73" ht="15" customHeight="1" x14ac:dyDescent="0.25">
      <c r="BG2" s="595" t="s">
        <v>399</v>
      </c>
      <c r="BH2" s="597" t="s">
        <v>56</v>
      </c>
      <c r="BI2" s="597"/>
      <c r="BJ2" s="597"/>
      <c r="BK2" s="597"/>
      <c r="BL2" s="598" t="s">
        <v>3</v>
      </c>
      <c r="BM2" s="599"/>
      <c r="BN2" s="604" t="s">
        <v>134</v>
      </c>
      <c r="BO2" s="605"/>
      <c r="BP2" s="605"/>
      <c r="BQ2" s="605"/>
      <c r="BR2" s="605"/>
      <c r="BS2" s="605"/>
    </row>
    <row r="3" spans="59:73" ht="15" customHeight="1" x14ac:dyDescent="0.25">
      <c r="BG3" s="596"/>
      <c r="BH3" s="597"/>
      <c r="BI3" s="597"/>
      <c r="BJ3" s="597"/>
      <c r="BK3" s="597"/>
      <c r="BL3" s="696">
        <v>0.15</v>
      </c>
      <c r="BM3" s="697"/>
      <c r="BN3" s="604" t="s">
        <v>141</v>
      </c>
      <c r="BO3" s="605"/>
      <c r="BP3" s="605"/>
      <c r="BQ3" s="605"/>
      <c r="BR3" s="605"/>
      <c r="BS3" s="605"/>
    </row>
    <row r="4" spans="59:73" ht="15" customHeight="1" x14ac:dyDescent="0.25">
      <c r="BG4" s="105" t="s">
        <v>1</v>
      </c>
      <c r="BH4" s="604" t="s">
        <v>150</v>
      </c>
      <c r="BI4" s="605"/>
      <c r="BJ4" s="605"/>
      <c r="BK4" s="605"/>
      <c r="BL4" s="605"/>
      <c r="BM4" s="605"/>
      <c r="BN4" s="605"/>
      <c r="BO4" s="605"/>
      <c r="BP4" s="605"/>
      <c r="BQ4" s="605"/>
      <c r="BR4" s="605"/>
      <c r="BS4" s="605"/>
    </row>
    <row r="5" spans="59:73" ht="15" customHeight="1" x14ac:dyDescent="0.25">
      <c r="BG5" s="105" t="s">
        <v>2</v>
      </c>
      <c r="BH5" s="604" t="s">
        <v>151</v>
      </c>
      <c r="BI5" s="605"/>
      <c r="BJ5" s="605"/>
      <c r="BK5" s="605"/>
      <c r="BL5" s="605"/>
      <c r="BM5" s="605"/>
      <c r="BN5" s="605"/>
      <c r="BO5" s="605"/>
      <c r="BP5" s="605"/>
      <c r="BQ5" s="605"/>
      <c r="BR5" s="605"/>
      <c r="BS5" s="605"/>
    </row>
    <row r="7" spans="59:73" ht="15" customHeight="1" x14ac:dyDescent="0.25">
      <c r="BG7" s="700" t="s">
        <v>40</v>
      </c>
      <c r="BH7" s="700" t="s">
        <v>41</v>
      </c>
      <c r="BI7" s="702" t="s">
        <v>133</v>
      </c>
      <c r="BJ7" s="703"/>
      <c r="BK7" s="704"/>
      <c r="BL7" s="705" t="s">
        <v>43</v>
      </c>
      <c r="BM7" s="706"/>
      <c r="BN7" s="707" t="s">
        <v>96</v>
      </c>
      <c r="BO7" s="708"/>
      <c r="BP7" s="614" t="s">
        <v>81</v>
      </c>
      <c r="BQ7" s="698" t="s">
        <v>82</v>
      </c>
      <c r="BR7" s="698" t="s">
        <v>83</v>
      </c>
      <c r="BS7" s="612" t="s">
        <v>137</v>
      </c>
    </row>
    <row r="8" spans="59:73" x14ac:dyDescent="0.25">
      <c r="BG8" s="701"/>
      <c r="BH8" s="701"/>
      <c r="BI8" s="370" t="s">
        <v>82</v>
      </c>
      <c r="BJ8" s="370" t="s">
        <v>83</v>
      </c>
      <c r="BK8" s="370" t="s">
        <v>87</v>
      </c>
      <c r="BL8" s="157" t="s">
        <v>92</v>
      </c>
      <c r="BM8" s="157" t="s">
        <v>93</v>
      </c>
      <c r="BN8" s="157" t="s">
        <v>92</v>
      </c>
      <c r="BO8" s="157" t="s">
        <v>93</v>
      </c>
      <c r="BP8" s="615"/>
      <c r="BQ8" s="699"/>
      <c r="BR8" s="699"/>
      <c r="BS8" s="613"/>
    </row>
    <row r="9" spans="59:73" ht="15.75" x14ac:dyDescent="0.25">
      <c r="BG9" s="79" t="s">
        <v>6</v>
      </c>
      <c r="BH9" s="79" t="s">
        <v>7</v>
      </c>
      <c r="BI9" s="9">
        <v>98</v>
      </c>
      <c r="BJ9" s="35">
        <v>555</v>
      </c>
      <c r="BK9" s="10">
        <f>BI9/BJ9</f>
        <v>0.17657657657657658</v>
      </c>
      <c r="BL9" s="368" t="str">
        <f>IF(BK9&lt;$BL$3,$BL$3-BK9,"-")</f>
        <v>-</v>
      </c>
      <c r="BM9" s="506" t="str">
        <f>IFERROR(BL9*BJ9,"-")</f>
        <v>-</v>
      </c>
      <c r="BN9" s="368" t="str">
        <f>IFERROR(BL9*0.5,"-")</f>
        <v>-</v>
      </c>
      <c r="BO9" s="506" t="str">
        <f t="shared" ref="BO9:BO25" si="0">IFERROR(BN9*BJ9,"-")</f>
        <v>-</v>
      </c>
      <c r="BP9" s="378">
        <f>IFERROR((BN9+BK9),IF(BK9&gt;=15%,$BL$3))</f>
        <v>0.15</v>
      </c>
      <c r="BQ9" s="15">
        <f>BR9*BP9</f>
        <v>83.25</v>
      </c>
      <c r="BR9" s="15">
        <f>BJ9</f>
        <v>555</v>
      </c>
      <c r="BS9" s="388">
        <f>+BP9</f>
        <v>0.15</v>
      </c>
      <c r="BU9" s="120"/>
    </row>
    <row r="10" spans="59:73" ht="15.75" x14ac:dyDescent="0.25">
      <c r="BG10" s="79" t="s">
        <v>8</v>
      </c>
      <c r="BH10" s="79" t="s">
        <v>7</v>
      </c>
      <c r="BI10" s="9">
        <v>41</v>
      </c>
      <c r="BJ10" s="35">
        <v>263</v>
      </c>
      <c r="BK10" s="10">
        <f>BI10/BJ10</f>
        <v>0.155893536121673</v>
      </c>
      <c r="BL10" s="368" t="str">
        <f t="shared" ref="BL10:BL25" si="1">IF(BK10&lt;$BL$3,$BL$3-BK10,"-")</f>
        <v>-</v>
      </c>
      <c r="BM10" s="369" t="str">
        <f>IFERROR(BL10*BJ10,"-")</f>
        <v>-</v>
      </c>
      <c r="BN10" s="368" t="str">
        <f t="shared" ref="BN10:BN22" si="2">IFERROR(BL10*0.5,"-")</f>
        <v>-</v>
      </c>
      <c r="BO10" s="369" t="str">
        <f t="shared" si="0"/>
        <v>-</v>
      </c>
      <c r="BP10" s="378">
        <f>IFERROR((BN10+BK10),IF(BK10&gt;=15%,$BL$3))</f>
        <v>0.15</v>
      </c>
      <c r="BQ10" s="15">
        <f t="shared" ref="BQ10:BQ25" si="3">BR10*BP10</f>
        <v>39.449999999999996</v>
      </c>
      <c r="BR10" s="15">
        <f>BJ10</f>
        <v>263</v>
      </c>
      <c r="BS10" s="388">
        <f t="shared" ref="BS10:BS41" si="4">+BP10</f>
        <v>0.15</v>
      </c>
      <c r="BU10" s="120"/>
    </row>
    <row r="11" spans="59:73" ht="15.75" x14ac:dyDescent="0.25">
      <c r="BG11" s="79" t="s">
        <v>9</v>
      </c>
      <c r="BH11" s="79" t="s">
        <v>7</v>
      </c>
      <c r="BI11" s="9">
        <v>65</v>
      </c>
      <c r="BJ11" s="35">
        <v>256.25</v>
      </c>
      <c r="BK11" s="10">
        <f>BI11/BJ11</f>
        <v>0.25365853658536586</v>
      </c>
      <c r="BL11" s="368" t="str">
        <f t="shared" si="1"/>
        <v>-</v>
      </c>
      <c r="BM11" s="506" t="str">
        <f>IFERROR(BL11*BJ11,"-")</f>
        <v>-</v>
      </c>
      <c r="BN11" s="368" t="str">
        <f t="shared" si="2"/>
        <v>-</v>
      </c>
      <c r="BO11" s="506" t="str">
        <f t="shared" si="0"/>
        <v>-</v>
      </c>
      <c r="BP11" s="378">
        <f t="shared" ref="BP11:BP14" si="5">IFERROR((BN11+BK11),IF(BK11&gt;=15%,$BL$3))</f>
        <v>0.15</v>
      </c>
      <c r="BQ11" s="15">
        <f t="shared" si="3"/>
        <v>38.4375</v>
      </c>
      <c r="BR11" s="15">
        <f>BJ11</f>
        <v>256.25</v>
      </c>
      <c r="BS11" s="388">
        <f t="shared" si="4"/>
        <v>0.15</v>
      </c>
      <c r="BU11" s="120"/>
    </row>
    <row r="12" spans="59:73" ht="15.75" x14ac:dyDescent="0.25">
      <c r="BG12" s="79" t="s">
        <v>10</v>
      </c>
      <c r="BH12" s="79" t="s">
        <v>7</v>
      </c>
      <c r="BI12" s="9">
        <v>8</v>
      </c>
      <c r="BJ12" s="35">
        <v>33.5</v>
      </c>
      <c r="BK12" s="10">
        <f>BI12/BJ12</f>
        <v>0.23880597014925373</v>
      </c>
      <c r="BL12" s="368" t="str">
        <f t="shared" si="1"/>
        <v>-</v>
      </c>
      <c r="BM12" s="506" t="str">
        <f t="shared" ref="BM12:BM25" si="6">IFERROR(BL12*BJ12,"-")</f>
        <v>-</v>
      </c>
      <c r="BN12" s="368" t="str">
        <f t="shared" si="2"/>
        <v>-</v>
      </c>
      <c r="BO12" s="506" t="str">
        <f t="shared" si="0"/>
        <v>-</v>
      </c>
      <c r="BP12" s="378">
        <f t="shared" si="5"/>
        <v>0.15</v>
      </c>
      <c r="BQ12" s="15">
        <f t="shared" si="3"/>
        <v>5.0249999999999995</v>
      </c>
      <c r="BR12" s="15">
        <f t="shared" ref="BR12:BR41" si="7">BJ12</f>
        <v>33.5</v>
      </c>
      <c r="BS12" s="388">
        <f t="shared" si="4"/>
        <v>0.15</v>
      </c>
      <c r="BU12" s="120"/>
    </row>
    <row r="13" spans="59:73" ht="15.75" x14ac:dyDescent="0.25">
      <c r="BG13" s="79" t="s">
        <v>11</v>
      </c>
      <c r="BH13" s="79" t="s">
        <v>7</v>
      </c>
      <c r="BI13" s="9">
        <v>41</v>
      </c>
      <c r="BJ13" s="35">
        <v>270</v>
      </c>
      <c r="BK13" s="10">
        <f>BI13/BJ13</f>
        <v>0.15185185185185185</v>
      </c>
      <c r="BL13" s="368" t="str">
        <f t="shared" si="1"/>
        <v>-</v>
      </c>
      <c r="BM13" s="506" t="str">
        <f t="shared" ref="BM13:BM21" si="8">IFERROR(BL13*BJ13,"-")</f>
        <v>-</v>
      </c>
      <c r="BN13" s="368" t="str">
        <f t="shared" si="2"/>
        <v>-</v>
      </c>
      <c r="BO13" s="506" t="str">
        <f t="shared" si="0"/>
        <v>-</v>
      </c>
      <c r="BP13" s="378">
        <f t="shared" si="5"/>
        <v>0.15</v>
      </c>
      <c r="BQ13" s="15">
        <f t="shared" si="3"/>
        <v>40.5</v>
      </c>
      <c r="BR13" s="15">
        <f t="shared" si="7"/>
        <v>270</v>
      </c>
      <c r="BS13" s="388">
        <f t="shared" si="4"/>
        <v>0.15</v>
      </c>
      <c r="BU13" s="120"/>
    </row>
    <row r="14" spans="59:73" ht="15.75" x14ac:dyDescent="0.25">
      <c r="BG14" s="79" t="s">
        <v>12</v>
      </c>
      <c r="BH14" s="79" t="s">
        <v>7</v>
      </c>
      <c r="BI14" s="9">
        <v>39</v>
      </c>
      <c r="BJ14" s="35">
        <v>251.25</v>
      </c>
      <c r="BK14" s="10">
        <f t="shared" ref="BK14:BK25" si="9">BI14/BJ14</f>
        <v>0.15522388059701492</v>
      </c>
      <c r="BL14" s="368" t="str">
        <f t="shared" si="1"/>
        <v>-</v>
      </c>
      <c r="BM14" s="506" t="str">
        <f t="shared" si="8"/>
        <v>-</v>
      </c>
      <c r="BN14" s="368" t="str">
        <f t="shared" si="2"/>
        <v>-</v>
      </c>
      <c r="BO14" s="506" t="str">
        <f t="shared" si="0"/>
        <v>-</v>
      </c>
      <c r="BP14" s="378">
        <f t="shared" si="5"/>
        <v>0.15</v>
      </c>
      <c r="BQ14" s="15">
        <f t="shared" si="3"/>
        <v>37.6875</v>
      </c>
      <c r="BR14" s="15">
        <f t="shared" si="7"/>
        <v>251.25</v>
      </c>
      <c r="BS14" s="388">
        <f t="shared" si="4"/>
        <v>0.15</v>
      </c>
      <c r="BU14" s="120"/>
    </row>
    <row r="15" spans="59:73" ht="15.75" x14ac:dyDescent="0.25">
      <c r="BG15" s="79" t="s">
        <v>13</v>
      </c>
      <c r="BH15" s="79" t="s">
        <v>7</v>
      </c>
      <c r="BI15" s="9">
        <v>16</v>
      </c>
      <c r="BJ15" s="35">
        <v>276</v>
      </c>
      <c r="BK15" s="10">
        <f t="shared" si="9"/>
        <v>5.7971014492753624E-2</v>
      </c>
      <c r="BL15" s="368">
        <f t="shared" si="1"/>
        <v>9.2028985507246364E-2</v>
      </c>
      <c r="BM15" s="369">
        <f t="shared" si="8"/>
        <v>25.399999999999995</v>
      </c>
      <c r="BN15" s="368">
        <f>IFERROR(BL15*0.5,"-")</f>
        <v>4.6014492753623182E-2</v>
      </c>
      <c r="BO15" s="369">
        <f>IFERROR(BN15*BJ15,"-")</f>
        <v>12.699999999999998</v>
      </c>
      <c r="BP15" s="378">
        <f>IFERROR((BN15+BK15),IF(BK15&gt;=15%,$BL$3))</f>
        <v>0.10398550724637681</v>
      </c>
      <c r="BQ15" s="15">
        <f t="shared" si="3"/>
        <v>28.7</v>
      </c>
      <c r="BR15" s="15">
        <f t="shared" si="7"/>
        <v>276</v>
      </c>
      <c r="BS15" s="388">
        <f t="shared" si="4"/>
        <v>0.10398550724637681</v>
      </c>
      <c r="BU15" s="120"/>
    </row>
    <row r="16" spans="59:73" ht="15.75" x14ac:dyDescent="0.25">
      <c r="BG16" s="79" t="s">
        <v>14</v>
      </c>
      <c r="BH16" s="79" t="s">
        <v>7</v>
      </c>
      <c r="BI16" s="9">
        <v>28</v>
      </c>
      <c r="BJ16" s="35">
        <v>182.25</v>
      </c>
      <c r="BK16" s="10">
        <f t="shared" si="9"/>
        <v>0.15363511659807957</v>
      </c>
      <c r="BL16" s="368" t="str">
        <f t="shared" si="1"/>
        <v>-</v>
      </c>
      <c r="BM16" s="369" t="str">
        <f t="shared" si="8"/>
        <v>-</v>
      </c>
      <c r="BN16" s="368" t="str">
        <f t="shared" si="2"/>
        <v>-</v>
      </c>
      <c r="BO16" s="369" t="str">
        <f t="shared" si="0"/>
        <v>-</v>
      </c>
      <c r="BP16" s="378">
        <f t="shared" ref="BP16:BP25" si="10">IFERROR((BN16+BK16),IF(BK16&gt;=15%,$BL$3))</f>
        <v>0.15</v>
      </c>
      <c r="BQ16" s="15">
        <f t="shared" si="3"/>
        <v>27.337499999999999</v>
      </c>
      <c r="BR16" s="15">
        <f t="shared" si="7"/>
        <v>182.25</v>
      </c>
      <c r="BS16" s="388">
        <f t="shared" si="4"/>
        <v>0.15</v>
      </c>
      <c r="BU16" s="120"/>
    </row>
    <row r="17" spans="59:73" ht="15.75" x14ac:dyDescent="0.25">
      <c r="BG17" s="79" t="s">
        <v>15</v>
      </c>
      <c r="BH17" s="79" t="s">
        <v>7</v>
      </c>
      <c r="BI17" s="9">
        <v>38</v>
      </c>
      <c r="BJ17" s="35">
        <v>33.75</v>
      </c>
      <c r="BK17" s="10">
        <f t="shared" si="9"/>
        <v>1.125925925925926</v>
      </c>
      <c r="BL17" s="368" t="str">
        <f t="shared" si="1"/>
        <v>-</v>
      </c>
      <c r="BM17" s="506" t="str">
        <f t="shared" si="8"/>
        <v>-</v>
      </c>
      <c r="BN17" s="368" t="str">
        <f t="shared" si="2"/>
        <v>-</v>
      </c>
      <c r="BO17" s="506" t="str">
        <f t="shared" si="0"/>
        <v>-</v>
      </c>
      <c r="BP17" s="378">
        <f t="shared" si="10"/>
        <v>0.15</v>
      </c>
      <c r="BQ17" s="15">
        <f t="shared" si="3"/>
        <v>5.0625</v>
      </c>
      <c r="BR17" s="15">
        <f t="shared" si="7"/>
        <v>33.75</v>
      </c>
      <c r="BS17" s="388">
        <f t="shared" si="4"/>
        <v>0.15</v>
      </c>
      <c r="BU17" s="120"/>
    </row>
    <row r="18" spans="59:73" ht="15.75" x14ac:dyDescent="0.25">
      <c r="BG18" s="79" t="s">
        <v>16</v>
      </c>
      <c r="BH18" s="79" t="s">
        <v>7</v>
      </c>
      <c r="BI18" s="9">
        <v>15</v>
      </c>
      <c r="BJ18" s="35">
        <v>95.25</v>
      </c>
      <c r="BK18" s="10">
        <f t="shared" si="9"/>
        <v>0.15748031496062992</v>
      </c>
      <c r="BL18" s="368" t="str">
        <f t="shared" si="1"/>
        <v>-</v>
      </c>
      <c r="BM18" s="506" t="str">
        <f t="shared" si="8"/>
        <v>-</v>
      </c>
      <c r="BN18" s="368" t="str">
        <f t="shared" si="2"/>
        <v>-</v>
      </c>
      <c r="BO18" s="506" t="str">
        <f t="shared" si="0"/>
        <v>-</v>
      </c>
      <c r="BP18" s="378">
        <f t="shared" si="10"/>
        <v>0.15</v>
      </c>
      <c r="BQ18" s="15">
        <f t="shared" si="3"/>
        <v>14.2875</v>
      </c>
      <c r="BR18" s="15">
        <f t="shared" si="7"/>
        <v>95.25</v>
      </c>
      <c r="BS18" s="388">
        <f t="shared" si="4"/>
        <v>0.15</v>
      </c>
      <c r="BU18" s="120"/>
    </row>
    <row r="19" spans="59:73" ht="15.75" x14ac:dyDescent="0.25">
      <c r="BG19" s="79" t="s">
        <v>17</v>
      </c>
      <c r="BH19" s="79" t="s">
        <v>7</v>
      </c>
      <c r="BI19" s="9">
        <v>47</v>
      </c>
      <c r="BJ19" s="35">
        <v>146.25</v>
      </c>
      <c r="BK19" s="10">
        <f t="shared" si="9"/>
        <v>0.32136752136752139</v>
      </c>
      <c r="BL19" s="368" t="str">
        <f t="shared" si="1"/>
        <v>-</v>
      </c>
      <c r="BM19" s="369" t="str">
        <f t="shared" si="8"/>
        <v>-</v>
      </c>
      <c r="BN19" s="368" t="str">
        <f t="shared" si="2"/>
        <v>-</v>
      </c>
      <c r="BO19" s="369" t="str">
        <f t="shared" si="0"/>
        <v>-</v>
      </c>
      <c r="BP19" s="378">
        <f t="shared" si="10"/>
        <v>0.15</v>
      </c>
      <c r="BQ19" s="15">
        <f t="shared" si="3"/>
        <v>21.9375</v>
      </c>
      <c r="BR19" s="15">
        <f t="shared" si="7"/>
        <v>146.25</v>
      </c>
      <c r="BS19" s="388">
        <f t="shared" si="4"/>
        <v>0.15</v>
      </c>
      <c r="BU19" s="120"/>
    </row>
    <row r="20" spans="59:73" ht="15.75" x14ac:dyDescent="0.25">
      <c r="BG20" s="79" t="s">
        <v>18</v>
      </c>
      <c r="BH20" s="79" t="s">
        <v>7</v>
      </c>
      <c r="BI20" s="9">
        <v>42</v>
      </c>
      <c r="BJ20" s="35">
        <v>204.25</v>
      </c>
      <c r="BK20" s="10">
        <f t="shared" si="9"/>
        <v>0.20563035495716034</v>
      </c>
      <c r="BL20" s="368" t="str">
        <f t="shared" si="1"/>
        <v>-</v>
      </c>
      <c r="BM20" s="506" t="str">
        <f t="shared" si="8"/>
        <v>-</v>
      </c>
      <c r="BN20" s="368" t="str">
        <f t="shared" si="2"/>
        <v>-</v>
      </c>
      <c r="BO20" s="506" t="str">
        <f t="shared" si="0"/>
        <v>-</v>
      </c>
      <c r="BP20" s="378">
        <f t="shared" si="10"/>
        <v>0.15</v>
      </c>
      <c r="BQ20" s="15">
        <f t="shared" si="3"/>
        <v>30.637499999999999</v>
      </c>
      <c r="BR20" s="15">
        <f t="shared" si="7"/>
        <v>204.25</v>
      </c>
      <c r="BS20" s="388">
        <f t="shared" si="4"/>
        <v>0.15</v>
      </c>
      <c r="BU20" s="120"/>
    </row>
    <row r="21" spans="59:73" ht="15.75" x14ac:dyDescent="0.25">
      <c r="BG21" s="79" t="s">
        <v>19</v>
      </c>
      <c r="BH21" s="79" t="s">
        <v>7</v>
      </c>
      <c r="BI21" s="9">
        <v>22</v>
      </c>
      <c r="BJ21" s="35">
        <v>86.5</v>
      </c>
      <c r="BK21" s="10">
        <f t="shared" si="9"/>
        <v>0.25433526011560692</v>
      </c>
      <c r="BL21" s="368" t="str">
        <f t="shared" si="1"/>
        <v>-</v>
      </c>
      <c r="BM21" s="506" t="str">
        <f t="shared" si="8"/>
        <v>-</v>
      </c>
      <c r="BN21" s="368" t="str">
        <f t="shared" si="2"/>
        <v>-</v>
      </c>
      <c r="BO21" s="506" t="str">
        <f t="shared" si="0"/>
        <v>-</v>
      </c>
      <c r="BP21" s="378">
        <f t="shared" si="10"/>
        <v>0.15</v>
      </c>
      <c r="BQ21" s="15">
        <f t="shared" si="3"/>
        <v>12.975</v>
      </c>
      <c r="BR21" s="15">
        <f t="shared" si="7"/>
        <v>86.5</v>
      </c>
      <c r="BS21" s="388">
        <f t="shared" si="4"/>
        <v>0.15</v>
      </c>
      <c r="BU21" s="120"/>
    </row>
    <row r="22" spans="59:73" ht="15.75" x14ac:dyDescent="0.25">
      <c r="BG22" s="79" t="s">
        <v>20</v>
      </c>
      <c r="BH22" s="79" t="s">
        <v>7</v>
      </c>
      <c r="BI22" s="9">
        <v>11</v>
      </c>
      <c r="BJ22" s="35">
        <v>58</v>
      </c>
      <c r="BK22" s="10">
        <f t="shared" si="9"/>
        <v>0.18965517241379309</v>
      </c>
      <c r="BL22" s="368" t="str">
        <f t="shared" si="1"/>
        <v>-</v>
      </c>
      <c r="BM22" s="369" t="str">
        <f t="shared" si="6"/>
        <v>-</v>
      </c>
      <c r="BN22" s="368" t="str">
        <f t="shared" si="2"/>
        <v>-</v>
      </c>
      <c r="BO22" s="369" t="str">
        <f t="shared" si="0"/>
        <v>-</v>
      </c>
      <c r="BP22" s="378">
        <f t="shared" si="10"/>
        <v>0.15</v>
      </c>
      <c r="BQ22" s="15">
        <f t="shared" si="3"/>
        <v>8.6999999999999993</v>
      </c>
      <c r="BR22" s="15">
        <f t="shared" si="7"/>
        <v>58</v>
      </c>
      <c r="BS22" s="388">
        <f t="shared" si="4"/>
        <v>0.15</v>
      </c>
      <c r="BU22" s="120"/>
    </row>
    <row r="23" spans="59:73" ht="15.75" x14ac:dyDescent="0.25">
      <c r="BG23" s="79" t="s">
        <v>21</v>
      </c>
      <c r="BH23" s="79" t="s">
        <v>7</v>
      </c>
      <c r="BI23" s="9">
        <v>7</v>
      </c>
      <c r="BJ23" s="35">
        <v>50.5</v>
      </c>
      <c r="BK23" s="10">
        <f t="shared" si="9"/>
        <v>0.13861386138613863</v>
      </c>
      <c r="BL23" s="368">
        <f>IF(BK23&lt;$BL$3,$BL$3-BK23,"-")</f>
        <v>1.1386138613861368E-2</v>
      </c>
      <c r="BM23" s="506">
        <f>IFERROR(BL23*BJ23,"-")</f>
        <v>0.57499999999999907</v>
      </c>
      <c r="BN23" s="368">
        <f>IFERROR(BL23*0.5,"-")</f>
        <v>5.6930693069306842E-3</v>
      </c>
      <c r="BO23" s="506">
        <f>IFERROR(BN23*BJ23,"-")</f>
        <v>0.28749999999999953</v>
      </c>
      <c r="BP23" s="378">
        <f t="shared" si="10"/>
        <v>0.14430693069306932</v>
      </c>
      <c r="BQ23" s="15">
        <f t="shared" si="3"/>
        <v>7.2875000000000005</v>
      </c>
      <c r="BR23" s="15">
        <f t="shared" si="7"/>
        <v>50.5</v>
      </c>
      <c r="BS23" s="388">
        <f t="shared" si="4"/>
        <v>0.14430693069306932</v>
      </c>
      <c r="BU23" s="120"/>
    </row>
    <row r="24" spans="59:73" ht="15.75" x14ac:dyDescent="0.25">
      <c r="BG24" s="79" t="s">
        <v>22</v>
      </c>
      <c r="BH24" s="79" t="s">
        <v>7</v>
      </c>
      <c r="BI24" s="9">
        <v>5</v>
      </c>
      <c r="BJ24" s="35">
        <v>43.5</v>
      </c>
      <c r="BK24" s="10">
        <f t="shared" si="9"/>
        <v>0.11494252873563218</v>
      </c>
      <c r="BL24" s="368">
        <f>IF(BK24&lt;$BL$3,$BL$3-BK24,"-")</f>
        <v>3.5057471264367812E-2</v>
      </c>
      <c r="BM24" s="506">
        <f>IFERROR(BL24*BJ24,"-")</f>
        <v>1.5249999999999999</v>
      </c>
      <c r="BN24" s="368">
        <f>IFERROR(BL24*0.5,"-")</f>
        <v>1.7528735632183906E-2</v>
      </c>
      <c r="BO24" s="506">
        <f>IFERROR(BN24*BJ24,"-")</f>
        <v>0.76249999999999996</v>
      </c>
      <c r="BP24" s="378">
        <f t="shared" si="10"/>
        <v>0.13247126436781609</v>
      </c>
      <c r="BQ24" s="15">
        <f t="shared" si="3"/>
        <v>5.7625000000000002</v>
      </c>
      <c r="BR24" s="15">
        <f t="shared" si="7"/>
        <v>43.5</v>
      </c>
      <c r="BS24" s="388">
        <f t="shared" si="4"/>
        <v>0.13247126436781609</v>
      </c>
      <c r="BU24" s="120"/>
    </row>
    <row r="25" spans="59:73" ht="15.75" x14ac:dyDescent="0.25">
      <c r="BG25" s="79" t="s">
        <v>23</v>
      </c>
      <c r="BH25" s="79" t="s">
        <v>7</v>
      </c>
      <c r="BI25" s="9">
        <v>20</v>
      </c>
      <c r="BJ25" s="35">
        <v>99</v>
      </c>
      <c r="BK25" s="10">
        <f t="shared" si="9"/>
        <v>0.20202020202020202</v>
      </c>
      <c r="BL25" s="368" t="str">
        <f t="shared" si="1"/>
        <v>-</v>
      </c>
      <c r="BM25" s="369" t="str">
        <f t="shared" si="6"/>
        <v>-</v>
      </c>
      <c r="BN25" s="368" t="str">
        <f>IFERROR(BL25*0.5,"-")</f>
        <v>-</v>
      </c>
      <c r="BO25" s="369" t="str">
        <f t="shared" si="0"/>
        <v>-</v>
      </c>
      <c r="BP25" s="378">
        <f t="shared" si="10"/>
        <v>0.15</v>
      </c>
      <c r="BQ25" s="15">
        <f t="shared" si="3"/>
        <v>14.85</v>
      </c>
      <c r="BR25" s="15">
        <f t="shared" si="7"/>
        <v>99</v>
      </c>
      <c r="BS25" s="388">
        <f t="shared" si="4"/>
        <v>0.15</v>
      </c>
      <c r="BU25" s="120"/>
    </row>
    <row r="26" spans="59:73" ht="15.75" x14ac:dyDescent="0.25">
      <c r="BG26" s="343"/>
      <c r="BH26" s="344" t="s">
        <v>7</v>
      </c>
      <c r="BI26" s="347">
        <f>SUM(BI9:BI25)</f>
        <v>543</v>
      </c>
      <c r="BJ26" s="347">
        <f>SUM(BJ9:BJ25)</f>
        <v>2904.25</v>
      </c>
      <c r="BK26" s="345">
        <f>BI26/BJ26</f>
        <v>0.18696737539812344</v>
      </c>
      <c r="BL26" s="346"/>
      <c r="BM26" s="346"/>
      <c r="BN26" s="346"/>
      <c r="BO26" s="346"/>
      <c r="BP26" s="346"/>
      <c r="BQ26" s="346"/>
      <c r="BR26" s="346"/>
      <c r="BS26" s="346"/>
      <c r="BU26" s="120"/>
    </row>
    <row r="27" spans="59:73" ht="15.75" x14ac:dyDescent="0.25">
      <c r="BG27" s="79" t="s">
        <v>24</v>
      </c>
      <c r="BH27" s="79" t="s">
        <v>25</v>
      </c>
      <c r="BI27" s="9">
        <v>8</v>
      </c>
      <c r="BJ27" s="35">
        <v>52.75</v>
      </c>
      <c r="BK27" s="10">
        <f>BI27/BJ27</f>
        <v>0.15165876777251186</v>
      </c>
      <c r="BL27" s="368" t="str">
        <f>IF(BK27&lt;$BL$3,$BL$3-BK27,"-")</f>
        <v>-</v>
      </c>
      <c r="BM27" s="369" t="str">
        <f>IFERROR(BL27*BJ27,"-")</f>
        <v>-</v>
      </c>
      <c r="BN27" s="368" t="str">
        <f>IFERROR(BL27*0.5,"-")</f>
        <v>-</v>
      </c>
      <c r="BO27" s="369" t="str">
        <f t="shared" ref="BO27:BO33" si="11">IFERROR(BN27*BJ27,"-")</f>
        <v>-</v>
      </c>
      <c r="BP27" s="378">
        <f>IFERROR((BN27+BK27),IF(BK27&gt;=15%,$BL$3))</f>
        <v>0.15</v>
      </c>
      <c r="BQ27" s="15">
        <f>BR27*BP27</f>
        <v>7.9124999999999996</v>
      </c>
      <c r="BR27" s="15">
        <f t="shared" si="7"/>
        <v>52.75</v>
      </c>
      <c r="BS27" s="388">
        <f t="shared" si="4"/>
        <v>0.15</v>
      </c>
      <c r="BU27" s="120"/>
    </row>
    <row r="28" spans="59:73" ht="15.75" x14ac:dyDescent="0.25">
      <c r="BG28" s="79" t="s">
        <v>26</v>
      </c>
      <c r="BH28" s="79" t="s">
        <v>25</v>
      </c>
      <c r="BI28" s="9">
        <v>7</v>
      </c>
      <c r="BJ28" s="35">
        <v>31.25</v>
      </c>
      <c r="BK28" s="10">
        <f>BI28/BJ28</f>
        <v>0.224</v>
      </c>
      <c r="BL28" s="368" t="str">
        <f t="shared" ref="BL28:BL41" si="12">IF(BK28&lt;$BL$3,$BL$3-BK28,"-")</f>
        <v>-</v>
      </c>
      <c r="BM28" s="369" t="str">
        <f>IFERROR(BL28*BJ28,"-")</f>
        <v>-</v>
      </c>
      <c r="BN28" s="368" t="str">
        <f t="shared" ref="BN28:BN33" si="13">IFERROR(BL28*0.5,"-")</f>
        <v>-</v>
      </c>
      <c r="BO28" s="369" t="str">
        <f t="shared" si="11"/>
        <v>-</v>
      </c>
      <c r="BP28" s="378">
        <f t="shared" ref="BP28:BP33" si="14">IFERROR((BN28+BK28),IF(BK28&gt;=15%,$BL$3))</f>
        <v>0.15</v>
      </c>
      <c r="BQ28" s="15">
        <f>BR28*BP28</f>
        <v>4.6875</v>
      </c>
      <c r="BR28" s="15">
        <f t="shared" si="7"/>
        <v>31.25</v>
      </c>
      <c r="BS28" s="388">
        <f t="shared" si="4"/>
        <v>0.15</v>
      </c>
      <c r="BU28" s="120"/>
    </row>
    <row r="29" spans="59:73" ht="15.75" x14ac:dyDescent="0.25">
      <c r="BG29" s="79" t="s">
        <v>27</v>
      </c>
      <c r="BH29" s="79" t="s">
        <v>25</v>
      </c>
      <c r="BI29" s="9">
        <v>19</v>
      </c>
      <c r="BJ29" s="35">
        <v>53.5</v>
      </c>
      <c r="BK29" s="10">
        <f t="shared" ref="BK29:BK30" si="15">BI29/BJ29</f>
        <v>0.35514018691588783</v>
      </c>
      <c r="BL29" s="368" t="str">
        <f t="shared" si="12"/>
        <v>-</v>
      </c>
      <c r="BM29" s="369" t="str">
        <f t="shared" ref="BM29:BM33" si="16">IFERROR(BL29*BJ29,"-")</f>
        <v>-</v>
      </c>
      <c r="BN29" s="368" t="str">
        <f t="shared" si="13"/>
        <v>-</v>
      </c>
      <c r="BO29" s="369" t="str">
        <f t="shared" si="11"/>
        <v>-</v>
      </c>
      <c r="BP29" s="378">
        <f t="shared" si="14"/>
        <v>0.15</v>
      </c>
      <c r="BQ29" s="15">
        <f>BR29*BP29</f>
        <v>8.0250000000000004</v>
      </c>
      <c r="BR29" s="15">
        <f t="shared" si="7"/>
        <v>53.5</v>
      </c>
      <c r="BS29" s="388">
        <f t="shared" si="4"/>
        <v>0.15</v>
      </c>
      <c r="BU29" s="120"/>
    </row>
    <row r="30" spans="59:73" ht="15.75" x14ac:dyDescent="0.25">
      <c r="BG30" s="79" t="s">
        <v>28</v>
      </c>
      <c r="BH30" s="79" t="s">
        <v>25</v>
      </c>
      <c r="BI30" s="9">
        <v>11</v>
      </c>
      <c r="BJ30" s="35">
        <v>50.5</v>
      </c>
      <c r="BK30" s="10">
        <f t="shared" si="15"/>
        <v>0.21782178217821782</v>
      </c>
      <c r="BL30" s="368" t="str">
        <f t="shared" si="12"/>
        <v>-</v>
      </c>
      <c r="BM30" s="369" t="str">
        <f t="shared" si="16"/>
        <v>-</v>
      </c>
      <c r="BN30" s="368" t="str">
        <f t="shared" si="13"/>
        <v>-</v>
      </c>
      <c r="BO30" s="369" t="str">
        <f t="shared" si="11"/>
        <v>-</v>
      </c>
      <c r="BP30" s="378">
        <f t="shared" si="14"/>
        <v>0.15</v>
      </c>
      <c r="BQ30" s="15">
        <f>BR30*BP30</f>
        <v>7.5749999999999993</v>
      </c>
      <c r="BR30" s="15">
        <f t="shared" si="7"/>
        <v>50.5</v>
      </c>
      <c r="BS30" s="388">
        <f t="shared" si="4"/>
        <v>0.15</v>
      </c>
      <c r="BU30" s="120"/>
    </row>
    <row r="31" spans="59:73" ht="15.75" x14ac:dyDescent="0.25">
      <c r="BG31" s="79" t="s">
        <v>29</v>
      </c>
      <c r="BH31" s="79" t="s">
        <v>25</v>
      </c>
      <c r="BI31" s="9" t="s">
        <v>74</v>
      </c>
      <c r="BJ31" s="35" t="s">
        <v>74</v>
      </c>
      <c r="BK31" s="35" t="s">
        <v>74</v>
      </c>
      <c r="BL31" s="368" t="str">
        <f t="shared" si="12"/>
        <v>-</v>
      </c>
      <c r="BM31" s="369" t="str">
        <f t="shared" si="16"/>
        <v>-</v>
      </c>
      <c r="BN31" s="368" t="s">
        <v>74</v>
      </c>
      <c r="BO31" s="369" t="str">
        <f t="shared" si="11"/>
        <v>-</v>
      </c>
      <c r="BP31" s="378" t="s">
        <v>74</v>
      </c>
      <c r="BQ31" s="15" t="s">
        <v>74</v>
      </c>
      <c r="BR31" s="15" t="str">
        <f t="shared" si="7"/>
        <v>-</v>
      </c>
      <c r="BS31" s="388" t="str">
        <f t="shared" si="4"/>
        <v>-</v>
      </c>
      <c r="BU31" s="120"/>
    </row>
    <row r="32" spans="59:73" ht="15.75" x14ac:dyDescent="0.25">
      <c r="BG32" s="79" t="s">
        <v>30</v>
      </c>
      <c r="BH32" s="79" t="s">
        <v>25</v>
      </c>
      <c r="BI32" s="9">
        <v>17</v>
      </c>
      <c r="BJ32" s="35">
        <v>71.25</v>
      </c>
      <c r="BK32" s="10">
        <f t="shared" ref="BK32:BK41" si="17">BI32/BJ32</f>
        <v>0.23859649122807017</v>
      </c>
      <c r="BL32" s="368" t="str">
        <f t="shared" si="12"/>
        <v>-</v>
      </c>
      <c r="BM32" s="369" t="str">
        <f t="shared" si="16"/>
        <v>-</v>
      </c>
      <c r="BN32" s="368" t="str">
        <f t="shared" si="13"/>
        <v>-</v>
      </c>
      <c r="BO32" s="369" t="str">
        <f t="shared" si="11"/>
        <v>-</v>
      </c>
      <c r="BP32" s="378">
        <f t="shared" si="14"/>
        <v>0.15</v>
      </c>
      <c r="BQ32" s="15">
        <f>BR32*BP32</f>
        <v>10.6875</v>
      </c>
      <c r="BR32" s="15">
        <f t="shared" si="7"/>
        <v>71.25</v>
      </c>
      <c r="BS32" s="388">
        <f t="shared" si="4"/>
        <v>0.15</v>
      </c>
      <c r="BU32" s="120"/>
    </row>
    <row r="33" spans="59:73" ht="15.75" x14ac:dyDescent="0.25">
      <c r="BG33" s="79" t="s">
        <v>31</v>
      </c>
      <c r="BH33" s="79" t="s">
        <v>25</v>
      </c>
      <c r="BI33" s="9">
        <v>19</v>
      </c>
      <c r="BJ33" s="35">
        <v>57</v>
      </c>
      <c r="BK33" s="10">
        <f t="shared" si="17"/>
        <v>0.33333333333333331</v>
      </c>
      <c r="BL33" s="368" t="str">
        <f t="shared" si="12"/>
        <v>-</v>
      </c>
      <c r="BM33" s="369" t="str">
        <f t="shared" si="16"/>
        <v>-</v>
      </c>
      <c r="BN33" s="368" t="str">
        <f t="shared" si="13"/>
        <v>-</v>
      </c>
      <c r="BO33" s="369" t="str">
        <f t="shared" si="11"/>
        <v>-</v>
      </c>
      <c r="BP33" s="378">
        <f t="shared" si="14"/>
        <v>0.15</v>
      </c>
      <c r="BQ33" s="15">
        <f>BR33*BP33</f>
        <v>8.5499999999999989</v>
      </c>
      <c r="BR33" s="15">
        <f t="shared" si="7"/>
        <v>57</v>
      </c>
      <c r="BS33" s="388">
        <f t="shared" si="4"/>
        <v>0.15</v>
      </c>
      <c r="BU33" s="120"/>
    </row>
    <row r="34" spans="59:73" ht="15.75" x14ac:dyDescent="0.25">
      <c r="BG34" s="343"/>
      <c r="BH34" s="344" t="s">
        <v>25</v>
      </c>
      <c r="BI34" s="349">
        <f>SUM(BI27:BI33)</f>
        <v>81</v>
      </c>
      <c r="BJ34" s="349">
        <f>SUM(BJ27:BJ33)</f>
        <v>316.25</v>
      </c>
      <c r="BK34" s="345">
        <f t="shared" si="17"/>
        <v>0.25612648221343876</v>
      </c>
      <c r="BL34" s="346"/>
      <c r="BM34" s="346"/>
      <c r="BN34" s="346"/>
      <c r="BO34" s="346"/>
      <c r="BP34" s="346"/>
      <c r="BQ34" s="346"/>
      <c r="BR34" s="346"/>
      <c r="BS34" s="346"/>
      <c r="BU34" s="120"/>
    </row>
    <row r="35" spans="59:73" ht="15.75" x14ac:dyDescent="0.25">
      <c r="BG35" s="79" t="s">
        <v>32</v>
      </c>
      <c r="BH35" s="79" t="s">
        <v>33</v>
      </c>
      <c r="BI35" s="9">
        <v>46</v>
      </c>
      <c r="BJ35" s="35">
        <v>314.75</v>
      </c>
      <c r="BK35" s="10">
        <f t="shared" si="17"/>
        <v>0.14614773629864972</v>
      </c>
      <c r="BL35" s="368">
        <f>IF(BK35&lt;$BL$3,$BL$3-BK35,"-")</f>
        <v>3.8522637013502781E-3</v>
      </c>
      <c r="BM35" s="369">
        <f>IFERROR(BL35*BJ35,"-")</f>
        <v>1.2124999999999999</v>
      </c>
      <c r="BN35" s="368">
        <f t="shared" ref="BN35:BN41" si="18">IFERROR(BL35*0.5,"-")</f>
        <v>1.926131850675139E-3</v>
      </c>
      <c r="BO35" s="369">
        <f>IFERROR(BN35*BJ35,"-")</f>
        <v>0.60624999999999996</v>
      </c>
      <c r="BP35" s="378">
        <f>IFERROR((BN35+BK35),IF(BK35&gt;=15%,$BL$3))</f>
        <v>0.14807386814932486</v>
      </c>
      <c r="BQ35" s="15">
        <f t="shared" ref="BQ35:BQ41" si="19">BR35*BP35</f>
        <v>46.606249999999996</v>
      </c>
      <c r="BR35" s="15">
        <f t="shared" si="7"/>
        <v>314.75</v>
      </c>
      <c r="BS35" s="388">
        <f t="shared" si="4"/>
        <v>0.14807386814932486</v>
      </c>
      <c r="BU35" s="120"/>
    </row>
    <row r="36" spans="59:73" ht="15.75" x14ac:dyDescent="0.25">
      <c r="BG36" s="79" t="s">
        <v>34</v>
      </c>
      <c r="BH36" s="79" t="s">
        <v>33</v>
      </c>
      <c r="BI36" s="9">
        <v>5</v>
      </c>
      <c r="BJ36" s="35">
        <v>42</v>
      </c>
      <c r="BK36" s="10">
        <f t="shared" si="17"/>
        <v>0.11904761904761904</v>
      </c>
      <c r="BL36" s="368">
        <f>IF(BK36&lt;$BL$3,$BL$3-BK36,"-")</f>
        <v>3.0952380952380953E-2</v>
      </c>
      <c r="BM36" s="369">
        <f>IFERROR(BL36*BJ36,"-")</f>
        <v>1.3</v>
      </c>
      <c r="BN36" s="368">
        <f>IFERROR(BL36*0.5,"-")</f>
        <v>1.5476190476190477E-2</v>
      </c>
      <c r="BO36" s="369">
        <f>IFERROR(BN36*BJ36,"-")</f>
        <v>0.65</v>
      </c>
      <c r="BP36" s="378">
        <f>IFERROR((BN36+BK36),IF(BK36&gt;=15%,$BL$3))</f>
        <v>0.13452380952380952</v>
      </c>
      <c r="BQ36" s="15">
        <f t="shared" si="19"/>
        <v>5.6499999999999995</v>
      </c>
      <c r="BR36" s="15">
        <f t="shared" si="7"/>
        <v>42</v>
      </c>
      <c r="BS36" s="388">
        <f t="shared" si="4"/>
        <v>0.13452380952380952</v>
      </c>
      <c r="BU36" s="120"/>
    </row>
    <row r="37" spans="59:73" ht="15.75" x14ac:dyDescent="0.25">
      <c r="BG37" s="79" t="s">
        <v>35</v>
      </c>
      <c r="BH37" s="79" t="s">
        <v>33</v>
      </c>
      <c r="BI37" s="9">
        <v>21</v>
      </c>
      <c r="BJ37" s="35">
        <v>143.75</v>
      </c>
      <c r="BK37" s="10">
        <f t="shared" si="17"/>
        <v>0.14608695652173914</v>
      </c>
      <c r="BL37" s="368">
        <f>IF(BK37&lt;$BL$3,$BL$3-BK37,"-")</f>
        <v>3.9130434782608525E-3</v>
      </c>
      <c r="BM37" s="369">
        <f>IFERROR(BL37*BJ37,"-")</f>
        <v>0.56249999999999756</v>
      </c>
      <c r="BN37" s="368">
        <f t="shared" si="18"/>
        <v>1.9565217391304263E-3</v>
      </c>
      <c r="BO37" s="369">
        <f>IFERROR(BN37*BJ37,"-")</f>
        <v>0.28124999999999878</v>
      </c>
      <c r="BP37" s="378">
        <f t="shared" ref="BP37:BP41" si="20">IFERROR((BN37+BK37),IF(BK37&gt;=15%,$BL$3))</f>
        <v>0.14804347826086955</v>
      </c>
      <c r="BQ37" s="15">
        <f t="shared" si="19"/>
        <v>21.28125</v>
      </c>
      <c r="BR37" s="15">
        <f t="shared" si="7"/>
        <v>143.75</v>
      </c>
      <c r="BS37" s="388">
        <f t="shared" si="4"/>
        <v>0.14804347826086955</v>
      </c>
      <c r="BU37" s="120"/>
    </row>
    <row r="38" spans="59:73" ht="15.75" x14ac:dyDescent="0.25">
      <c r="BG38" s="79" t="s">
        <v>36</v>
      </c>
      <c r="BH38" s="79" t="s">
        <v>33</v>
      </c>
      <c r="BI38" s="9">
        <v>29</v>
      </c>
      <c r="BJ38" s="35">
        <v>284.5</v>
      </c>
      <c r="BK38" s="10">
        <f t="shared" si="17"/>
        <v>0.10193321616871705</v>
      </c>
      <c r="BL38" s="368">
        <f>IF(BK38&lt;$BL$3,$BL$3-BK38,"-")</f>
        <v>4.8066783831282947E-2</v>
      </c>
      <c r="BM38" s="369">
        <f>IFERROR(BL38*BJ38,"-")</f>
        <v>13.674999999999999</v>
      </c>
      <c r="BN38" s="368">
        <f t="shared" si="18"/>
        <v>2.4033391915641474E-2</v>
      </c>
      <c r="BO38" s="369">
        <f>IFERROR(BN38*BJ38,"-")</f>
        <v>6.8374999999999995</v>
      </c>
      <c r="BP38" s="378">
        <f t="shared" si="20"/>
        <v>0.12596660808435853</v>
      </c>
      <c r="BQ38" s="15">
        <f t="shared" si="19"/>
        <v>35.837499999999999</v>
      </c>
      <c r="BR38" s="15">
        <f t="shared" si="7"/>
        <v>284.5</v>
      </c>
      <c r="BS38" s="388">
        <f t="shared" si="4"/>
        <v>0.12596660808435853</v>
      </c>
      <c r="BU38" s="120"/>
    </row>
    <row r="39" spans="59:73" ht="15.75" x14ac:dyDescent="0.25">
      <c r="BG39" s="79" t="s">
        <v>37</v>
      </c>
      <c r="BH39" s="79" t="s">
        <v>33</v>
      </c>
      <c r="BI39" s="9">
        <v>45</v>
      </c>
      <c r="BJ39" s="35">
        <v>354.75</v>
      </c>
      <c r="BK39" s="10">
        <f t="shared" si="17"/>
        <v>0.12684989429175475</v>
      </c>
      <c r="BL39" s="368">
        <f>IF(BK39&lt;$BL$3,$BL$3-BK39,"-")</f>
        <v>2.3150105708245244E-2</v>
      </c>
      <c r="BM39" s="369">
        <f>IFERROR(BL39*BJ39,"-")</f>
        <v>8.2125000000000004</v>
      </c>
      <c r="BN39" s="368">
        <f t="shared" si="18"/>
        <v>1.1575052854122622E-2</v>
      </c>
      <c r="BO39" s="369">
        <f>IFERROR(BN39*BJ39,"-")</f>
        <v>4.1062500000000002</v>
      </c>
      <c r="BP39" s="378">
        <f t="shared" si="20"/>
        <v>0.13842494714587739</v>
      </c>
      <c r="BQ39" s="15">
        <f t="shared" si="19"/>
        <v>49.106250000000003</v>
      </c>
      <c r="BR39" s="15">
        <f t="shared" si="7"/>
        <v>354.75</v>
      </c>
      <c r="BS39" s="388">
        <f t="shared" si="4"/>
        <v>0.13842494714587739</v>
      </c>
      <c r="BU39" s="120"/>
    </row>
    <row r="40" spans="59:73" ht="15.75" x14ac:dyDescent="0.25">
      <c r="BG40" s="79" t="s">
        <v>38</v>
      </c>
      <c r="BH40" s="79" t="s">
        <v>33</v>
      </c>
      <c r="BI40" s="9">
        <v>11</v>
      </c>
      <c r="BJ40" s="35">
        <v>61</v>
      </c>
      <c r="BK40" s="10">
        <f t="shared" si="17"/>
        <v>0.18032786885245902</v>
      </c>
      <c r="BL40" s="368" t="str">
        <f t="shared" si="12"/>
        <v>-</v>
      </c>
      <c r="BM40" s="369" t="str">
        <f t="shared" ref="BM40:BM41" si="21">IFERROR(BL40*BJ40,"-")</f>
        <v>-</v>
      </c>
      <c r="BN40" s="368" t="str">
        <f t="shared" si="18"/>
        <v>-</v>
      </c>
      <c r="BO40" s="369" t="str">
        <f t="shared" ref="BO40:BO41" si="22">IFERROR(BN40*BJ40,"-")</f>
        <v>-</v>
      </c>
      <c r="BP40" s="378">
        <f t="shared" si="20"/>
        <v>0.15</v>
      </c>
      <c r="BQ40" s="15">
        <f t="shared" si="19"/>
        <v>9.15</v>
      </c>
      <c r="BR40" s="15">
        <f t="shared" si="7"/>
        <v>61</v>
      </c>
      <c r="BS40" s="388">
        <f t="shared" si="4"/>
        <v>0.15</v>
      </c>
      <c r="BU40" s="120"/>
    </row>
    <row r="41" spans="59:73" ht="15.75" x14ac:dyDescent="0.25">
      <c r="BG41" s="79" t="s">
        <v>39</v>
      </c>
      <c r="BH41" s="79" t="s">
        <v>33</v>
      </c>
      <c r="BI41" s="9">
        <v>34</v>
      </c>
      <c r="BJ41" s="35">
        <v>143.5</v>
      </c>
      <c r="BK41" s="10">
        <f t="shared" si="17"/>
        <v>0.23693379790940766</v>
      </c>
      <c r="BL41" s="368" t="str">
        <f t="shared" si="12"/>
        <v>-</v>
      </c>
      <c r="BM41" s="369" t="str">
        <f t="shared" si="21"/>
        <v>-</v>
      </c>
      <c r="BN41" s="368" t="str">
        <f t="shared" si="18"/>
        <v>-</v>
      </c>
      <c r="BO41" s="369" t="str">
        <f t="shared" si="22"/>
        <v>-</v>
      </c>
      <c r="BP41" s="378">
        <f t="shared" si="20"/>
        <v>0.15</v>
      </c>
      <c r="BQ41" s="15">
        <f t="shared" si="19"/>
        <v>21.524999999999999</v>
      </c>
      <c r="BR41" s="15">
        <f t="shared" si="7"/>
        <v>143.5</v>
      </c>
      <c r="BS41" s="388">
        <f t="shared" si="4"/>
        <v>0.15</v>
      </c>
      <c r="BU41" s="120"/>
    </row>
  </sheetData>
  <mergeCells count="17">
    <mergeCell ref="BS7:BS8"/>
    <mergeCell ref="BN2:BS2"/>
    <mergeCell ref="BN3:BS3"/>
    <mergeCell ref="BH4:BS4"/>
    <mergeCell ref="BH5:BS5"/>
    <mergeCell ref="BR7:BR8"/>
    <mergeCell ref="BG2:BG3"/>
    <mergeCell ref="BH2:BK3"/>
    <mergeCell ref="BL2:BM2"/>
    <mergeCell ref="BL3:BM3"/>
    <mergeCell ref="BQ7:BQ8"/>
    <mergeCell ref="BG7:BG8"/>
    <mergeCell ref="BH7:BH8"/>
    <mergeCell ref="BI7:BK7"/>
    <mergeCell ref="BL7:BM7"/>
    <mergeCell ref="BN7:BO7"/>
    <mergeCell ref="BP7:BP8"/>
  </mergeCells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A9EF9-134C-41EA-A6DC-5DA119300B24}">
  <sheetPr>
    <pageSetUpPr fitToPage="1"/>
  </sheetPr>
  <dimension ref="A1:P39"/>
  <sheetViews>
    <sheetView showGridLines="0" zoomScaleNormal="100" workbookViewId="0">
      <selection activeCell="J39" sqref="J39"/>
    </sheetView>
  </sheetViews>
  <sheetFormatPr baseColWidth="10" defaultColWidth="0" defaultRowHeight="12.75" customHeight="1" zeroHeight="1" x14ac:dyDescent="0.2"/>
  <cols>
    <col min="1" max="1" width="3.140625" style="123" customWidth="1"/>
    <col min="2" max="2" width="20.140625" style="123" customWidth="1"/>
    <col min="3" max="3" width="14.42578125" style="123" hidden="1" customWidth="1"/>
    <col min="4" max="4" width="12" style="123" hidden="1" customWidth="1"/>
    <col min="5" max="6" width="11.28515625" style="123" hidden="1" customWidth="1"/>
    <col min="7" max="7" width="23.42578125" style="123" customWidth="1"/>
    <col min="8" max="8" width="18" style="123" customWidth="1"/>
    <col min="9" max="9" width="13.7109375" style="123" customWidth="1"/>
    <col min="10" max="10" width="10.7109375" style="123" customWidth="1"/>
    <col min="11" max="11" width="11.42578125" style="122" customWidth="1"/>
    <col min="12" max="16" width="0" style="123" hidden="1" customWidth="1"/>
    <col min="17" max="16384" width="11.42578125" style="123" hidden="1"/>
  </cols>
  <sheetData>
    <row r="1" spans="2:11" ht="9.9499999999999993" customHeight="1" thickTop="1" x14ac:dyDescent="0.2">
      <c r="B1" s="709" t="s">
        <v>199</v>
      </c>
      <c r="C1" s="710"/>
      <c r="D1" s="710"/>
      <c r="E1" s="710"/>
      <c r="F1" s="710"/>
      <c r="G1" s="710"/>
      <c r="H1" s="710"/>
      <c r="I1" s="710"/>
      <c r="J1" s="710"/>
    </row>
    <row r="2" spans="2:11" s="124" customFormat="1" ht="10.35" customHeight="1" x14ac:dyDescent="0.25">
      <c r="B2" s="711" t="s">
        <v>200</v>
      </c>
      <c r="C2" s="711" t="s">
        <v>201</v>
      </c>
      <c r="D2" s="711"/>
      <c r="E2" s="711"/>
      <c r="F2" s="711"/>
      <c r="G2" s="713" t="s">
        <v>202</v>
      </c>
      <c r="H2" s="714"/>
      <c r="I2" s="714"/>
      <c r="J2" s="714"/>
      <c r="K2" s="714"/>
    </row>
    <row r="3" spans="2:11" s="124" customFormat="1" ht="15.75" customHeight="1" x14ac:dyDescent="0.2">
      <c r="B3" s="711"/>
      <c r="C3" s="495" t="s">
        <v>203</v>
      </c>
      <c r="D3" s="495" t="s">
        <v>204</v>
      </c>
      <c r="E3" s="712" t="s">
        <v>92</v>
      </c>
      <c r="F3" s="712" t="s">
        <v>205</v>
      </c>
      <c r="G3" s="495" t="s">
        <v>203</v>
      </c>
      <c r="H3" s="495" t="s">
        <v>204</v>
      </c>
      <c r="I3" s="712" t="s">
        <v>92</v>
      </c>
      <c r="J3" s="712" t="s">
        <v>205</v>
      </c>
      <c r="K3" s="715" t="s">
        <v>144</v>
      </c>
    </row>
    <row r="4" spans="2:11" s="124" customFormat="1" ht="29.1" customHeight="1" x14ac:dyDescent="0.25">
      <c r="B4" s="711"/>
      <c r="C4" s="496" t="s">
        <v>206</v>
      </c>
      <c r="D4" s="496" t="s">
        <v>207</v>
      </c>
      <c r="E4" s="712"/>
      <c r="F4" s="712"/>
      <c r="G4" s="496" t="s">
        <v>208</v>
      </c>
      <c r="H4" s="496" t="s">
        <v>209</v>
      </c>
      <c r="I4" s="712"/>
      <c r="J4" s="712"/>
      <c r="K4" s="715"/>
    </row>
    <row r="5" spans="2:11" ht="15" x14ac:dyDescent="0.25">
      <c r="B5" s="79" t="s">
        <v>210</v>
      </c>
      <c r="C5" s="373">
        <v>331</v>
      </c>
      <c r="D5" s="373">
        <v>728</v>
      </c>
      <c r="E5" s="497">
        <f>C5/D5*100%</f>
        <v>0.45467032967032966</v>
      </c>
      <c r="F5" s="498">
        <v>0.34699999999999998</v>
      </c>
      <c r="G5" s="373">
        <v>20</v>
      </c>
      <c r="H5" s="499">
        <v>99.25</v>
      </c>
      <c r="I5" s="497">
        <f t="shared" ref="I5:I38" si="0">G5/H5*100%</f>
        <v>0.20151133501259447</v>
      </c>
      <c r="J5" s="504">
        <v>0.10199999999999999</v>
      </c>
      <c r="K5" s="494">
        <f>IF(I5&gt;=15%,15%,(15%-I5)/2+I5)</f>
        <v>0.15</v>
      </c>
    </row>
    <row r="6" spans="2:11" ht="15" x14ac:dyDescent="0.25">
      <c r="B6" s="79" t="s">
        <v>211</v>
      </c>
      <c r="C6" s="373">
        <v>2174</v>
      </c>
      <c r="D6" s="373">
        <v>5003</v>
      </c>
      <c r="E6" s="497">
        <f>C6/D6*100%</f>
        <v>0.43453927643413953</v>
      </c>
      <c r="F6" s="498">
        <v>0.313</v>
      </c>
      <c r="G6" s="373">
        <v>98</v>
      </c>
      <c r="H6" s="499">
        <v>555</v>
      </c>
      <c r="I6" s="497">
        <f t="shared" si="0"/>
        <v>0.17657657657657658</v>
      </c>
      <c r="J6" s="504">
        <v>0.11</v>
      </c>
      <c r="K6" s="494">
        <f t="shared" ref="K6:K34" si="1">IF(I6&gt;=15%,15%,(15%-I6)/2+I6)</f>
        <v>0.15</v>
      </c>
    </row>
    <row r="7" spans="2:11" ht="15" x14ac:dyDescent="0.25">
      <c r="B7" s="79" t="s">
        <v>212</v>
      </c>
      <c r="C7" s="373">
        <v>816</v>
      </c>
      <c r="D7" s="373">
        <v>2285</v>
      </c>
      <c r="E7" s="497">
        <f t="shared" ref="E7:E35" si="2">C7/D7*100%</f>
        <v>0.35711159737417941</v>
      </c>
      <c r="F7" s="498">
        <v>0.32800000000000001</v>
      </c>
      <c r="G7" s="373">
        <v>41</v>
      </c>
      <c r="H7" s="499">
        <v>263</v>
      </c>
      <c r="I7" s="497">
        <f t="shared" si="0"/>
        <v>0.155893536121673</v>
      </c>
      <c r="J7" s="504">
        <v>0.11</v>
      </c>
      <c r="K7" s="494">
        <f t="shared" si="1"/>
        <v>0.15</v>
      </c>
    </row>
    <row r="8" spans="2:11" ht="15" x14ac:dyDescent="0.25">
      <c r="B8" s="79" t="s">
        <v>213</v>
      </c>
      <c r="C8" s="373">
        <v>872</v>
      </c>
      <c r="D8" s="373">
        <v>2289</v>
      </c>
      <c r="E8" s="497">
        <f t="shared" si="2"/>
        <v>0.38095238095238093</v>
      </c>
      <c r="F8" s="498">
        <v>0.31</v>
      </c>
      <c r="G8" s="373">
        <v>65</v>
      </c>
      <c r="H8" s="499">
        <v>256.25</v>
      </c>
      <c r="I8" s="497">
        <f t="shared" si="0"/>
        <v>0.25365853658536586</v>
      </c>
      <c r="J8" s="504">
        <v>0.11</v>
      </c>
      <c r="K8" s="494">
        <f t="shared" si="1"/>
        <v>0.15</v>
      </c>
    </row>
    <row r="9" spans="2:11" ht="15" x14ac:dyDescent="0.25">
      <c r="B9" s="79" t="s">
        <v>214</v>
      </c>
      <c r="C9" s="373">
        <v>207</v>
      </c>
      <c r="D9" s="373">
        <v>284</v>
      </c>
      <c r="E9" s="497">
        <f t="shared" si="2"/>
        <v>0.72887323943661975</v>
      </c>
      <c r="F9" s="498">
        <v>0.35</v>
      </c>
      <c r="G9" s="373">
        <v>8</v>
      </c>
      <c r="H9" s="499">
        <v>33.5</v>
      </c>
      <c r="I9" s="497">
        <f t="shared" si="0"/>
        <v>0.23880597014925373</v>
      </c>
      <c r="J9" s="504">
        <v>0.11</v>
      </c>
      <c r="K9" s="494">
        <f t="shared" si="1"/>
        <v>0.15</v>
      </c>
    </row>
    <row r="10" spans="2:11" ht="15" x14ac:dyDescent="0.25">
      <c r="B10" s="79" t="s">
        <v>215</v>
      </c>
      <c r="C10" s="373">
        <v>898</v>
      </c>
      <c r="D10" s="373">
        <v>2303</v>
      </c>
      <c r="E10" s="497">
        <f t="shared" si="2"/>
        <v>0.38992618323925315</v>
      </c>
      <c r="F10" s="498">
        <v>0.33300000000000002</v>
      </c>
      <c r="G10" s="373">
        <v>41</v>
      </c>
      <c r="H10" s="499">
        <v>270</v>
      </c>
      <c r="I10" s="497">
        <f t="shared" si="0"/>
        <v>0.15185185185185185</v>
      </c>
      <c r="J10" s="504">
        <v>0.11</v>
      </c>
      <c r="K10" s="494">
        <f t="shared" si="1"/>
        <v>0.15</v>
      </c>
    </row>
    <row r="11" spans="2:11" ht="15" x14ac:dyDescent="0.25">
      <c r="B11" s="79" t="s">
        <v>216</v>
      </c>
      <c r="C11" s="373">
        <v>686</v>
      </c>
      <c r="D11" s="373">
        <v>1949</v>
      </c>
      <c r="E11" s="497">
        <f t="shared" si="2"/>
        <v>0.35197537198563367</v>
      </c>
      <c r="F11" s="498">
        <v>0.35</v>
      </c>
      <c r="G11" s="373">
        <v>39</v>
      </c>
      <c r="H11" s="499">
        <v>251.25</v>
      </c>
      <c r="I11" s="497">
        <f t="shared" si="0"/>
        <v>0.15522388059701492</v>
      </c>
      <c r="J11" s="504">
        <v>0.11</v>
      </c>
      <c r="K11" s="494">
        <f t="shared" si="1"/>
        <v>0.15</v>
      </c>
    </row>
    <row r="12" spans="2:11" ht="12" customHeight="1" x14ac:dyDescent="0.25">
      <c r="B12" s="79" t="s">
        <v>217</v>
      </c>
      <c r="C12" s="373">
        <v>744</v>
      </c>
      <c r="D12" s="373">
        <v>2384</v>
      </c>
      <c r="E12" s="497">
        <f t="shared" si="2"/>
        <v>0.31208053691275167</v>
      </c>
      <c r="F12" s="498">
        <v>0.26100000000000001</v>
      </c>
      <c r="G12" s="373">
        <v>16</v>
      </c>
      <c r="H12" s="499">
        <v>276</v>
      </c>
      <c r="I12" s="497">
        <f t="shared" si="0"/>
        <v>5.7971014492753624E-2</v>
      </c>
      <c r="J12" s="504">
        <v>5.8999999999999997E-2</v>
      </c>
      <c r="K12" s="494">
        <f>IF(I12&gt;=15%,15%,(15%-I12)/2+I12)</f>
        <v>0.10398550724637681</v>
      </c>
    </row>
    <row r="13" spans="2:11" ht="15" x14ac:dyDescent="0.25">
      <c r="B13" s="79" t="s">
        <v>218</v>
      </c>
      <c r="C13" s="373">
        <v>620</v>
      </c>
      <c r="D13" s="373">
        <v>1534</v>
      </c>
      <c r="E13" s="497">
        <f t="shared" si="2"/>
        <v>0.4041720990873533</v>
      </c>
      <c r="F13" s="498">
        <v>0.35</v>
      </c>
      <c r="G13" s="373">
        <v>28</v>
      </c>
      <c r="H13" s="499">
        <v>182.25</v>
      </c>
      <c r="I13" s="497">
        <f t="shared" si="0"/>
        <v>0.15363511659807957</v>
      </c>
      <c r="J13" s="504">
        <v>0.109</v>
      </c>
      <c r="K13" s="494">
        <f t="shared" si="1"/>
        <v>0.15</v>
      </c>
    </row>
    <row r="14" spans="2:11" ht="15" x14ac:dyDescent="0.25">
      <c r="B14" s="79" t="s">
        <v>219</v>
      </c>
      <c r="C14" s="373">
        <v>526</v>
      </c>
      <c r="D14" s="373">
        <v>278</v>
      </c>
      <c r="E14" s="497">
        <f t="shared" si="2"/>
        <v>1.8920863309352518</v>
      </c>
      <c r="F14" s="498">
        <v>0.35</v>
      </c>
      <c r="G14" s="373">
        <v>38</v>
      </c>
      <c r="H14" s="499">
        <v>33.75</v>
      </c>
      <c r="I14" s="497">
        <f t="shared" si="0"/>
        <v>1.125925925925926</v>
      </c>
      <c r="J14" s="504">
        <v>0.11</v>
      </c>
      <c r="K14" s="494">
        <f t="shared" si="1"/>
        <v>0.15</v>
      </c>
    </row>
    <row r="15" spans="2:11" ht="15" x14ac:dyDescent="0.25">
      <c r="B15" s="79" t="s">
        <v>220</v>
      </c>
      <c r="C15" s="373">
        <v>358</v>
      </c>
      <c r="D15" s="373">
        <v>910</v>
      </c>
      <c r="E15" s="497">
        <f t="shared" si="2"/>
        <v>0.3934065934065934</v>
      </c>
      <c r="F15" s="498">
        <v>0.35</v>
      </c>
      <c r="G15" s="373">
        <v>15</v>
      </c>
      <c r="H15" s="499">
        <v>95.25</v>
      </c>
      <c r="I15" s="497">
        <f t="shared" si="0"/>
        <v>0.15748031496062992</v>
      </c>
      <c r="J15" s="504">
        <v>0.11</v>
      </c>
      <c r="K15" s="494">
        <f t="shared" si="1"/>
        <v>0.15</v>
      </c>
    </row>
    <row r="16" spans="2:11" ht="15" x14ac:dyDescent="0.25">
      <c r="B16" s="79" t="s">
        <v>221</v>
      </c>
      <c r="C16" s="373">
        <v>704</v>
      </c>
      <c r="D16" s="373">
        <v>1280</v>
      </c>
      <c r="E16" s="497">
        <f t="shared" si="2"/>
        <v>0.55000000000000004</v>
      </c>
      <c r="F16" s="498">
        <v>0.35</v>
      </c>
      <c r="G16" s="373">
        <v>47</v>
      </c>
      <c r="H16" s="499">
        <v>146.25</v>
      </c>
      <c r="I16" s="497">
        <f t="shared" si="0"/>
        <v>0.32136752136752139</v>
      </c>
      <c r="J16" s="504">
        <v>9.5000000000000001E-2</v>
      </c>
      <c r="K16" s="494">
        <f t="shared" si="1"/>
        <v>0.15</v>
      </c>
    </row>
    <row r="17" spans="2:11" ht="15" x14ac:dyDescent="0.25">
      <c r="B17" s="79" t="s">
        <v>222</v>
      </c>
      <c r="C17" s="373">
        <v>789</v>
      </c>
      <c r="D17" s="373">
        <v>1493</v>
      </c>
      <c r="E17" s="497">
        <f t="shared" si="2"/>
        <v>0.52846617548559949</v>
      </c>
      <c r="F17" s="498">
        <v>0.32200000000000001</v>
      </c>
      <c r="G17" s="373">
        <v>42</v>
      </c>
      <c r="H17" s="499">
        <v>204.25</v>
      </c>
      <c r="I17" s="497">
        <f t="shared" si="0"/>
        <v>0.20563035495716034</v>
      </c>
      <c r="J17" s="504">
        <v>0.11</v>
      </c>
      <c r="K17" s="494">
        <f t="shared" si="1"/>
        <v>0.15</v>
      </c>
    </row>
    <row r="18" spans="2:11" ht="15" x14ac:dyDescent="0.25">
      <c r="B18" s="79" t="s">
        <v>223</v>
      </c>
      <c r="C18" s="373">
        <v>359</v>
      </c>
      <c r="D18" s="373">
        <v>732</v>
      </c>
      <c r="E18" s="497">
        <f t="shared" si="2"/>
        <v>0.49043715846994534</v>
      </c>
      <c r="F18" s="498">
        <v>0.35</v>
      </c>
      <c r="G18" s="373">
        <v>22</v>
      </c>
      <c r="H18" s="499">
        <v>86.5</v>
      </c>
      <c r="I18" s="497">
        <f t="shared" si="0"/>
        <v>0.25433526011560692</v>
      </c>
      <c r="J18" s="504">
        <v>0.11</v>
      </c>
      <c r="K18" s="494">
        <f t="shared" si="1"/>
        <v>0.15</v>
      </c>
    </row>
    <row r="19" spans="2:11" ht="15" x14ac:dyDescent="0.25">
      <c r="B19" s="79" t="s">
        <v>224</v>
      </c>
      <c r="C19" s="373">
        <v>192</v>
      </c>
      <c r="D19" s="373">
        <v>438</v>
      </c>
      <c r="E19" s="497">
        <f t="shared" si="2"/>
        <v>0.43835616438356162</v>
      </c>
      <c r="F19" s="498">
        <v>0.21099999999999999</v>
      </c>
      <c r="G19" s="373">
        <v>11</v>
      </c>
      <c r="H19" s="499">
        <v>58</v>
      </c>
      <c r="I19" s="497">
        <f t="shared" si="0"/>
        <v>0.18965517241379309</v>
      </c>
      <c r="J19" s="504">
        <v>6.3E-2</v>
      </c>
      <c r="K19" s="494">
        <f t="shared" si="1"/>
        <v>0.15</v>
      </c>
    </row>
    <row r="20" spans="2:11" ht="15" x14ac:dyDescent="0.25">
      <c r="B20" s="79" t="s">
        <v>225</v>
      </c>
      <c r="C20" s="373">
        <v>193</v>
      </c>
      <c r="D20" s="373">
        <v>443</v>
      </c>
      <c r="E20" s="497">
        <f t="shared" si="2"/>
        <v>0.43566591422121898</v>
      </c>
      <c r="F20" s="498">
        <v>0.35</v>
      </c>
      <c r="G20" s="373">
        <v>7</v>
      </c>
      <c r="H20" s="499">
        <v>50.5</v>
      </c>
      <c r="I20" s="497">
        <f t="shared" si="0"/>
        <v>0.13861386138613863</v>
      </c>
      <c r="J20" s="504">
        <v>0.11</v>
      </c>
      <c r="K20" s="494">
        <f t="shared" si="1"/>
        <v>0.14430693069306932</v>
      </c>
    </row>
    <row r="21" spans="2:11" ht="15" x14ac:dyDescent="0.25">
      <c r="B21" s="79" t="s">
        <v>226</v>
      </c>
      <c r="C21" s="373">
        <v>142</v>
      </c>
      <c r="D21" s="373">
        <v>285</v>
      </c>
      <c r="E21" s="497">
        <f t="shared" si="2"/>
        <v>0.49824561403508771</v>
      </c>
      <c r="F21" s="498">
        <v>0.35</v>
      </c>
      <c r="G21" s="373">
        <v>5</v>
      </c>
      <c r="H21" s="499">
        <v>43.5</v>
      </c>
      <c r="I21" s="497">
        <f t="shared" si="0"/>
        <v>0.11494252873563218</v>
      </c>
      <c r="J21" s="504">
        <v>0.11</v>
      </c>
      <c r="K21" s="494">
        <f t="shared" si="1"/>
        <v>0.13247126436781609</v>
      </c>
    </row>
    <row r="22" spans="2:11" ht="15" x14ac:dyDescent="0.25">
      <c r="B22" s="79" t="s">
        <v>227</v>
      </c>
      <c r="C22" s="373">
        <v>1424</v>
      </c>
      <c r="D22" s="373">
        <v>2667</v>
      </c>
      <c r="E22" s="497">
        <f t="shared" si="2"/>
        <v>0.53393325834270711</v>
      </c>
      <c r="F22" s="498">
        <v>0.35</v>
      </c>
      <c r="G22" s="373">
        <v>46</v>
      </c>
      <c r="H22" s="499">
        <v>314.75</v>
      </c>
      <c r="I22" s="497">
        <f t="shared" si="0"/>
        <v>0.14614773629864972</v>
      </c>
      <c r="J22" s="504">
        <v>0.11</v>
      </c>
      <c r="K22" s="494">
        <f>IF(I22&gt;=15%,15%,(15%-I22)/2+I22)</f>
        <v>0.14807386814932486</v>
      </c>
    </row>
    <row r="23" spans="2:11" s="125" customFormat="1" ht="15" x14ac:dyDescent="0.25">
      <c r="B23" s="79" t="s">
        <v>228</v>
      </c>
      <c r="C23" s="373">
        <v>234</v>
      </c>
      <c r="D23" s="373">
        <v>315</v>
      </c>
      <c r="E23" s="497">
        <f t="shared" si="2"/>
        <v>0.74285714285714288</v>
      </c>
      <c r="F23" s="498">
        <v>0.35</v>
      </c>
      <c r="G23" s="373">
        <v>5</v>
      </c>
      <c r="H23" s="499">
        <v>42</v>
      </c>
      <c r="I23" s="497">
        <f t="shared" si="0"/>
        <v>0.11904761904761904</v>
      </c>
      <c r="J23" s="504">
        <v>9.8000000000000004E-2</v>
      </c>
      <c r="K23" s="494">
        <f t="shared" si="1"/>
        <v>0.13452380952380952</v>
      </c>
    </row>
    <row r="24" spans="2:11" ht="15" x14ac:dyDescent="0.25">
      <c r="B24" s="79" t="s">
        <v>229</v>
      </c>
      <c r="C24" s="373">
        <v>177</v>
      </c>
      <c r="D24" s="373">
        <v>396</v>
      </c>
      <c r="E24" s="497">
        <f t="shared" si="2"/>
        <v>0.44696969696969696</v>
      </c>
      <c r="F24" s="498">
        <v>0.35</v>
      </c>
      <c r="G24" s="373">
        <v>11</v>
      </c>
      <c r="H24" s="499">
        <v>61</v>
      </c>
      <c r="I24" s="497">
        <f t="shared" si="0"/>
        <v>0.18032786885245902</v>
      </c>
      <c r="J24" s="504">
        <v>0.104</v>
      </c>
      <c r="K24" s="494">
        <f t="shared" si="1"/>
        <v>0.15</v>
      </c>
    </row>
    <row r="25" spans="2:11" ht="15" x14ac:dyDescent="0.25">
      <c r="B25" s="79" t="s">
        <v>230</v>
      </c>
      <c r="C25" s="373">
        <v>556</v>
      </c>
      <c r="D25" s="373">
        <v>1098</v>
      </c>
      <c r="E25" s="497">
        <f t="shared" si="2"/>
        <v>0.50637522768670307</v>
      </c>
      <c r="F25" s="498">
        <v>0.27900000000000003</v>
      </c>
      <c r="G25" s="373">
        <v>34</v>
      </c>
      <c r="H25" s="499">
        <v>143.5</v>
      </c>
      <c r="I25" s="497">
        <f t="shared" si="0"/>
        <v>0.23693379790940766</v>
      </c>
      <c r="J25" s="504">
        <v>0.105</v>
      </c>
      <c r="K25" s="494">
        <f t="shared" si="1"/>
        <v>0.15</v>
      </c>
    </row>
    <row r="26" spans="2:11" ht="15" x14ac:dyDescent="0.25">
      <c r="B26" s="79" t="s">
        <v>231</v>
      </c>
      <c r="C26" s="373">
        <v>501</v>
      </c>
      <c r="D26" s="373">
        <v>1016</v>
      </c>
      <c r="E26" s="497">
        <f t="shared" si="2"/>
        <v>0.49311023622047245</v>
      </c>
      <c r="F26" s="498">
        <v>0.35</v>
      </c>
      <c r="G26" s="373">
        <v>21</v>
      </c>
      <c r="H26" s="499">
        <v>143.75</v>
      </c>
      <c r="I26" s="497">
        <f t="shared" si="0"/>
        <v>0.14608695652173914</v>
      </c>
      <c r="J26" s="504">
        <v>0.11</v>
      </c>
      <c r="K26" s="494">
        <f t="shared" si="1"/>
        <v>0.14804347826086955</v>
      </c>
    </row>
    <row r="27" spans="2:11" ht="15" x14ac:dyDescent="0.25">
      <c r="B27" s="79" t="s">
        <v>232</v>
      </c>
      <c r="C27" s="373">
        <v>1163</v>
      </c>
      <c r="D27" s="373">
        <v>2252</v>
      </c>
      <c r="E27" s="497">
        <f t="shared" si="2"/>
        <v>0.51642984014209592</v>
      </c>
      <c r="F27" s="498">
        <v>0.34399999999999997</v>
      </c>
      <c r="G27" s="373">
        <v>45</v>
      </c>
      <c r="H27" s="499">
        <v>354.75</v>
      </c>
      <c r="I27" s="497">
        <f t="shared" si="0"/>
        <v>0.12684989429175475</v>
      </c>
      <c r="J27" s="504">
        <v>0.105</v>
      </c>
      <c r="K27" s="494">
        <f t="shared" si="1"/>
        <v>0.13842494714587739</v>
      </c>
    </row>
    <row r="28" spans="2:11" ht="15" x14ac:dyDescent="0.25">
      <c r="B28" s="79" t="s">
        <v>233</v>
      </c>
      <c r="C28" s="373">
        <v>894</v>
      </c>
      <c r="D28" s="373">
        <v>2174</v>
      </c>
      <c r="E28" s="497">
        <f t="shared" si="2"/>
        <v>0.41122355105795766</v>
      </c>
      <c r="F28" s="498">
        <v>0.28799999999999998</v>
      </c>
      <c r="G28" s="373">
        <v>29</v>
      </c>
      <c r="H28" s="499">
        <v>284.5</v>
      </c>
      <c r="I28" s="497">
        <f t="shared" si="0"/>
        <v>0.10193321616871705</v>
      </c>
      <c r="J28" s="504">
        <v>7.5999999999999998E-2</v>
      </c>
      <c r="K28" s="494">
        <f t="shared" si="1"/>
        <v>0.12596660808435853</v>
      </c>
    </row>
    <row r="29" spans="2:11" ht="15" x14ac:dyDescent="0.25">
      <c r="B29" s="79" t="s">
        <v>234</v>
      </c>
      <c r="C29" s="373">
        <v>173</v>
      </c>
      <c r="D29" s="373">
        <v>447</v>
      </c>
      <c r="E29" s="497">
        <f t="shared" si="2"/>
        <v>0.38702460850111858</v>
      </c>
      <c r="F29" s="498">
        <v>0.35</v>
      </c>
      <c r="G29" s="373">
        <v>8</v>
      </c>
      <c r="H29" s="499">
        <v>52.75</v>
      </c>
      <c r="I29" s="497">
        <f t="shared" si="0"/>
        <v>0.15165876777251186</v>
      </c>
      <c r="J29" s="504">
        <v>0.11</v>
      </c>
      <c r="K29" s="494">
        <f t="shared" si="1"/>
        <v>0.15</v>
      </c>
    </row>
    <row r="30" spans="2:11" ht="15" x14ac:dyDescent="0.25">
      <c r="B30" s="79" t="s">
        <v>235</v>
      </c>
      <c r="C30" s="373">
        <v>102</v>
      </c>
      <c r="D30" s="373">
        <v>244</v>
      </c>
      <c r="E30" s="497">
        <f t="shared" si="2"/>
        <v>0.41803278688524592</v>
      </c>
      <c r="F30" s="498">
        <v>0.35</v>
      </c>
      <c r="G30" s="373">
        <v>7</v>
      </c>
      <c r="H30" s="499">
        <v>31.25</v>
      </c>
      <c r="I30" s="497">
        <f t="shared" si="0"/>
        <v>0.224</v>
      </c>
      <c r="J30" s="504">
        <v>0.11</v>
      </c>
      <c r="K30" s="494">
        <f t="shared" si="1"/>
        <v>0.15</v>
      </c>
    </row>
    <row r="31" spans="2:11" ht="15" x14ac:dyDescent="0.25">
      <c r="B31" s="79" t="s">
        <v>236</v>
      </c>
      <c r="C31" s="373">
        <v>389</v>
      </c>
      <c r="D31" s="373">
        <v>435</v>
      </c>
      <c r="E31" s="497">
        <f t="shared" si="2"/>
        <v>0.89425287356321836</v>
      </c>
      <c r="F31" s="498">
        <v>0.35</v>
      </c>
      <c r="G31" s="373">
        <v>19</v>
      </c>
      <c r="H31" s="499">
        <v>53.5</v>
      </c>
      <c r="I31" s="497">
        <f t="shared" si="0"/>
        <v>0.35514018691588783</v>
      </c>
      <c r="J31" s="504">
        <v>0.11</v>
      </c>
      <c r="K31" s="494">
        <f t="shared" si="1"/>
        <v>0.15</v>
      </c>
    </row>
    <row r="32" spans="2:11" ht="15" x14ac:dyDescent="0.25">
      <c r="B32" s="79" t="s">
        <v>237</v>
      </c>
      <c r="C32" s="373">
        <v>194</v>
      </c>
      <c r="D32" s="373">
        <v>436</v>
      </c>
      <c r="E32" s="497">
        <f t="shared" si="2"/>
        <v>0.44495412844036697</v>
      </c>
      <c r="F32" s="498">
        <v>0.35</v>
      </c>
      <c r="G32" s="373">
        <v>11</v>
      </c>
      <c r="H32" s="499">
        <v>50.5</v>
      </c>
      <c r="I32" s="497">
        <f t="shared" si="0"/>
        <v>0.21782178217821782</v>
      </c>
      <c r="J32" s="504">
        <v>0.11</v>
      </c>
      <c r="K32" s="494">
        <f t="shared" si="1"/>
        <v>0.15</v>
      </c>
    </row>
    <row r="33" spans="2:11" ht="15" x14ac:dyDescent="0.25">
      <c r="B33" s="79" t="s">
        <v>238</v>
      </c>
      <c r="C33" s="373">
        <v>264</v>
      </c>
      <c r="D33" s="373">
        <v>439</v>
      </c>
      <c r="E33" s="497">
        <f t="shared" si="2"/>
        <v>0.60136674259681089</v>
      </c>
      <c r="F33" s="498">
        <v>0.35</v>
      </c>
      <c r="G33" s="373">
        <v>17</v>
      </c>
      <c r="H33" s="499">
        <v>71.25</v>
      </c>
      <c r="I33" s="497">
        <f t="shared" si="0"/>
        <v>0.23859649122807017</v>
      </c>
      <c r="J33" s="504">
        <v>0.11</v>
      </c>
      <c r="K33" s="494">
        <f t="shared" si="1"/>
        <v>0.15</v>
      </c>
    </row>
    <row r="34" spans="2:11" ht="15" x14ac:dyDescent="0.25">
      <c r="B34" s="79" t="s">
        <v>239</v>
      </c>
      <c r="C34" s="373">
        <v>202</v>
      </c>
      <c r="D34" s="373">
        <v>380</v>
      </c>
      <c r="E34" s="500">
        <f t="shared" si="2"/>
        <v>0.53157894736842104</v>
      </c>
      <c r="F34" s="501">
        <v>0.35</v>
      </c>
      <c r="G34" s="502">
        <v>19</v>
      </c>
      <c r="H34" s="503">
        <v>57</v>
      </c>
      <c r="I34" s="500">
        <f t="shared" si="0"/>
        <v>0.33333333333333331</v>
      </c>
      <c r="J34" s="505">
        <v>0.11</v>
      </c>
      <c r="K34" s="494">
        <f t="shared" si="1"/>
        <v>0.15</v>
      </c>
    </row>
    <row r="35" spans="2:11" s="127" customFormat="1" x14ac:dyDescent="0.2">
      <c r="C35" s="492">
        <f>SUM(C5:C34)</f>
        <v>16884</v>
      </c>
      <c r="D35" s="492">
        <f>SUM(D5:D34)</f>
        <v>36917</v>
      </c>
      <c r="E35" s="493">
        <f t="shared" si="2"/>
        <v>0.4573502722323049</v>
      </c>
      <c r="F35" s="129"/>
      <c r="G35" s="492">
        <f>SUM(G5:G34)</f>
        <v>815</v>
      </c>
      <c r="H35" s="492">
        <f>SUM(H5:H34)</f>
        <v>4565</v>
      </c>
      <c r="I35" s="493">
        <f t="shared" si="0"/>
        <v>0.17853231106243153</v>
      </c>
      <c r="J35" s="129"/>
      <c r="K35" s="126"/>
    </row>
    <row r="36" spans="2:11" hidden="1" x14ac:dyDescent="0.2">
      <c r="B36" s="127"/>
      <c r="C36" s="127"/>
      <c r="D36" s="127"/>
      <c r="E36" s="128"/>
      <c r="F36" s="129"/>
      <c r="G36" s="130"/>
      <c r="H36" s="130"/>
      <c r="I36" s="131" t="e">
        <f t="shared" si="0"/>
        <v>#DIV/0!</v>
      </c>
      <c r="J36" s="129"/>
    </row>
    <row r="37" spans="2:11" hidden="1" x14ac:dyDescent="0.2">
      <c r="B37" s="127"/>
      <c r="C37" s="127"/>
      <c r="D37" s="127"/>
      <c r="E37" s="128"/>
      <c r="F37" s="128"/>
      <c r="G37" s="127"/>
      <c r="H37" s="127"/>
      <c r="I37" s="131" t="e">
        <f t="shared" si="0"/>
        <v>#DIV/0!</v>
      </c>
      <c r="J37" s="128"/>
    </row>
    <row r="38" spans="2:11" hidden="1" x14ac:dyDescent="0.2">
      <c r="B38" s="127"/>
      <c r="C38" s="127"/>
      <c r="D38" s="127"/>
      <c r="E38" s="128"/>
      <c r="F38" s="128"/>
      <c r="G38" s="127"/>
      <c r="H38" s="127"/>
      <c r="I38" s="131" t="e">
        <f t="shared" si="0"/>
        <v>#DIV/0!</v>
      </c>
      <c r="J38" s="128"/>
    </row>
    <row r="39" spans="2:11" x14ac:dyDescent="0.2">
      <c r="I39" s="132"/>
    </row>
  </sheetData>
  <mergeCells count="9">
    <mergeCell ref="B1:J1"/>
    <mergeCell ref="B2:B4"/>
    <mergeCell ref="C2:F2"/>
    <mergeCell ref="E3:E4"/>
    <mergeCell ref="F3:F4"/>
    <mergeCell ref="I3:I4"/>
    <mergeCell ref="J3:J4"/>
    <mergeCell ref="G2:K2"/>
    <mergeCell ref="K3:K4"/>
  </mergeCells>
  <conditionalFormatting sqref="I36:I38">
    <cfRule type="expression" dxfId="25" priority="2">
      <formula>I36&gt;=11%</formula>
    </cfRule>
    <cfRule type="expression" dxfId="24" priority="3">
      <formula>I36&lt;11%</formula>
    </cfRule>
  </conditionalFormatting>
  <printOptions horizontalCentered="1" verticalCentered="1"/>
  <pageMargins left="0.25" right="0.25" top="0.75" bottom="0.75" header="0.3" footer="0.3"/>
  <pageSetup scale="9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Z2:CN41"/>
  <sheetViews>
    <sheetView topLeftCell="BY1" zoomScaleNormal="100" workbookViewId="0">
      <selection activeCell="CL10" sqref="CL10"/>
    </sheetView>
  </sheetViews>
  <sheetFormatPr baseColWidth="10" defaultRowHeight="15" outlineLevelCol="1" x14ac:dyDescent="0.25"/>
  <cols>
    <col min="1" max="76" width="0" hidden="1" customWidth="1"/>
    <col min="77" max="77" width="2.140625" customWidth="1"/>
    <col min="78" max="78" width="27.7109375" bestFit="1" customWidth="1"/>
    <col min="79" max="79" width="8.7109375" hidden="1" customWidth="1" outlineLevel="1"/>
    <col min="80" max="80" width="4.42578125" hidden="1" customWidth="1" outlineLevel="1"/>
    <col min="81" max="81" width="5.28515625" hidden="1" customWidth="1" outlineLevel="1"/>
    <col min="82" max="82" width="6.85546875" hidden="1" customWidth="1" outlineLevel="1"/>
    <col min="83" max="83" width="12.85546875" customWidth="1" collapsed="1"/>
    <col min="84" max="92" width="12.85546875" customWidth="1"/>
    <col min="93" max="93" width="15.140625" customWidth="1"/>
  </cols>
  <sheetData>
    <row r="2" spans="78:92" ht="15" customHeight="1" x14ac:dyDescent="0.25">
      <c r="BZ2" s="724" t="s">
        <v>101</v>
      </c>
      <c r="CA2" s="597" t="s">
        <v>59</v>
      </c>
      <c r="CB2" s="597"/>
      <c r="CC2" s="597"/>
      <c r="CD2" s="597"/>
      <c r="CE2" s="597"/>
      <c r="CF2" s="597"/>
      <c r="CG2" s="597"/>
      <c r="CH2" s="598" t="s">
        <v>3</v>
      </c>
      <c r="CI2" s="599"/>
      <c r="CJ2" s="725" t="s">
        <v>134</v>
      </c>
      <c r="CK2" s="725"/>
      <c r="CL2" s="725"/>
      <c r="CM2" s="725"/>
      <c r="CN2" s="725"/>
    </row>
    <row r="3" spans="78:92" ht="43.5" customHeight="1" x14ac:dyDescent="0.25">
      <c r="BZ3" s="724"/>
      <c r="CA3" s="597"/>
      <c r="CB3" s="597"/>
      <c r="CC3" s="597"/>
      <c r="CD3" s="597"/>
      <c r="CE3" s="597"/>
      <c r="CF3" s="597"/>
      <c r="CG3" s="597"/>
      <c r="CH3" s="696">
        <v>0.28000000000000003</v>
      </c>
      <c r="CI3" s="697"/>
      <c r="CJ3" s="725" t="s">
        <v>135</v>
      </c>
      <c r="CK3" s="725"/>
      <c r="CL3" s="725"/>
      <c r="CM3" s="725"/>
      <c r="CN3" s="725"/>
    </row>
    <row r="4" spans="78:92" ht="30" customHeight="1" x14ac:dyDescent="0.25">
      <c r="BZ4" s="105" t="s">
        <v>1</v>
      </c>
      <c r="CA4" s="597" t="s">
        <v>60</v>
      </c>
      <c r="CB4" s="597"/>
      <c r="CC4" s="597"/>
      <c r="CD4" s="597"/>
      <c r="CE4" s="597"/>
      <c r="CF4" s="597"/>
      <c r="CG4" s="597"/>
      <c r="CH4" s="597"/>
      <c r="CI4" s="597"/>
      <c r="CJ4" s="597"/>
      <c r="CK4" s="597"/>
      <c r="CL4" s="597"/>
      <c r="CM4" s="597"/>
      <c r="CN4" s="597"/>
    </row>
    <row r="5" spans="78:92" ht="25.5" customHeight="1" x14ac:dyDescent="0.25">
      <c r="BZ5" s="105" t="s">
        <v>2</v>
      </c>
      <c r="CA5" s="597" t="s">
        <v>61</v>
      </c>
      <c r="CB5" s="597"/>
      <c r="CC5" s="597"/>
      <c r="CD5" s="597"/>
      <c r="CE5" s="597"/>
      <c r="CF5" s="597"/>
      <c r="CG5" s="597"/>
      <c r="CH5" s="597"/>
      <c r="CI5" s="597"/>
      <c r="CJ5" s="597"/>
      <c r="CK5" s="597"/>
      <c r="CL5" s="597"/>
      <c r="CM5" s="597"/>
      <c r="CN5" s="597"/>
    </row>
    <row r="7" spans="78:92" ht="15" customHeight="1" x14ac:dyDescent="0.25">
      <c r="BZ7" s="716" t="s">
        <v>40</v>
      </c>
      <c r="CA7" s="716" t="s">
        <v>41</v>
      </c>
      <c r="CB7" s="718" t="s">
        <v>84</v>
      </c>
      <c r="CC7" s="719"/>
      <c r="CD7" s="720"/>
      <c r="CE7" s="718" t="s">
        <v>143</v>
      </c>
      <c r="CF7" s="719"/>
      <c r="CG7" s="720"/>
      <c r="CH7" s="721" t="s">
        <v>43</v>
      </c>
      <c r="CI7" s="722"/>
      <c r="CJ7" s="723" t="s">
        <v>62</v>
      </c>
      <c r="CK7" s="723"/>
      <c r="CL7" s="698" t="s">
        <v>81</v>
      </c>
      <c r="CM7" s="698" t="s">
        <v>82</v>
      </c>
      <c r="CN7" s="698" t="s">
        <v>83</v>
      </c>
    </row>
    <row r="8" spans="78:92" x14ac:dyDescent="0.25">
      <c r="BZ8" s="717"/>
      <c r="CA8" s="717"/>
      <c r="CB8" s="1" t="s">
        <v>82</v>
      </c>
      <c r="CC8" s="1" t="s">
        <v>83</v>
      </c>
      <c r="CD8" s="1" t="s">
        <v>87</v>
      </c>
      <c r="CE8" s="1" t="s">
        <v>82</v>
      </c>
      <c r="CF8" s="1" t="s">
        <v>83</v>
      </c>
      <c r="CG8" s="1" t="s">
        <v>87</v>
      </c>
      <c r="CH8" s="58" t="s">
        <v>92</v>
      </c>
      <c r="CI8" s="58" t="s">
        <v>93</v>
      </c>
      <c r="CJ8" s="57" t="s">
        <v>92</v>
      </c>
      <c r="CK8" s="57" t="s">
        <v>93</v>
      </c>
      <c r="CL8" s="699"/>
      <c r="CM8" s="699"/>
      <c r="CN8" s="699"/>
    </row>
    <row r="9" spans="78:92" ht="15.75" x14ac:dyDescent="0.25">
      <c r="BZ9" s="79" t="s">
        <v>6</v>
      </c>
      <c r="CA9" s="79" t="s">
        <v>7</v>
      </c>
      <c r="CB9" s="71">
        <v>666</v>
      </c>
      <c r="CC9" s="96">
        <v>4249.1000000000004</v>
      </c>
      <c r="CD9" s="82">
        <v>0.15673907415688026</v>
      </c>
      <c r="CE9" s="119">
        <v>1114</v>
      </c>
      <c r="CF9" s="119">
        <v>4961</v>
      </c>
      <c r="CG9" s="18">
        <f>CE9/CF9</f>
        <v>0.22455150171336424</v>
      </c>
      <c r="CH9" s="12">
        <f t="shared" ref="CH9:CH25" si="0">IF(CG9&lt;$CH$3,$CH$3-CG9,"-")</f>
        <v>5.5448498286635783E-2</v>
      </c>
      <c r="CI9" s="56">
        <f>IFERROR(CH9*CF9,"-")</f>
        <v>275.0800000000001</v>
      </c>
      <c r="CJ9" s="12">
        <f>IFERROR(CH9*0.5,"-")</f>
        <v>2.7724249143317892E-2</v>
      </c>
      <c r="CK9" s="56">
        <f>IFERROR(CJ9*CF9,"-")</f>
        <v>137.54000000000005</v>
      </c>
      <c r="CL9" s="53">
        <f>IFERROR((CJ9+CG9),IF(CG9&gt;$CH$3,CG9))</f>
        <v>0.25227575085668213</v>
      </c>
      <c r="CM9" s="15">
        <f>CN9*CL9</f>
        <v>1251.54</v>
      </c>
      <c r="CN9" s="15">
        <f>CF9</f>
        <v>4961</v>
      </c>
    </row>
    <row r="10" spans="78:92" ht="15.75" x14ac:dyDescent="0.25">
      <c r="BZ10" s="79" t="s">
        <v>8</v>
      </c>
      <c r="CA10" s="79" t="s">
        <v>7</v>
      </c>
      <c r="CB10" s="71">
        <v>487</v>
      </c>
      <c r="CC10" s="96">
        <v>2117.5</v>
      </c>
      <c r="CD10" s="82">
        <v>0.22998819362455727</v>
      </c>
      <c r="CE10" s="119">
        <v>604</v>
      </c>
      <c r="CF10" s="119">
        <v>2459</v>
      </c>
      <c r="CG10" s="18">
        <f t="shared" ref="CG10:CG41" si="1">CE10/CF10</f>
        <v>0.24562830418869458</v>
      </c>
      <c r="CH10" s="12">
        <f t="shared" si="0"/>
        <v>3.4371695811305447E-2</v>
      </c>
      <c r="CI10" s="56">
        <f>IFERROR(CH10*CF10,"-")</f>
        <v>84.520000000000095</v>
      </c>
      <c r="CJ10" s="12">
        <f t="shared" ref="CJ10:CJ41" si="2">IFERROR(CH10*0.5,"-")</f>
        <v>1.7185847905652724E-2</v>
      </c>
      <c r="CK10" s="56">
        <f t="shared" ref="CK10:CK25" si="3">IFERROR(CJ10*CF10,"-")</f>
        <v>42.260000000000048</v>
      </c>
      <c r="CL10" s="53">
        <f t="shared" ref="CL10:CL25" si="4">IFERROR((CJ10+CG10),IF(CG10&gt;$CH$3,CG10))</f>
        <v>0.26281415209434733</v>
      </c>
      <c r="CM10" s="15">
        <f t="shared" ref="CM10:CM25" si="5">CN10*CL10</f>
        <v>646.2600000000001</v>
      </c>
      <c r="CN10" s="15">
        <f t="shared" ref="CN10:CN41" si="6">CF10</f>
        <v>2459</v>
      </c>
    </row>
    <row r="11" spans="78:92" ht="15.75" x14ac:dyDescent="0.25">
      <c r="BZ11" s="79" t="s">
        <v>9</v>
      </c>
      <c r="CA11" s="79" t="s">
        <v>7</v>
      </c>
      <c r="CB11" s="71">
        <v>442</v>
      </c>
      <c r="CC11" s="96">
        <v>2248.1999999999998</v>
      </c>
      <c r="CD11" s="82">
        <v>0.19660172582510455</v>
      </c>
      <c r="CE11" s="119">
        <v>740</v>
      </c>
      <c r="CF11" s="119">
        <v>2691</v>
      </c>
      <c r="CG11" s="18">
        <f t="shared" si="1"/>
        <v>0.27499070977331846</v>
      </c>
      <c r="CH11" s="12">
        <f t="shared" si="0"/>
        <v>5.009290226681562E-3</v>
      </c>
      <c r="CI11" s="56">
        <f>IFERROR(CH11*CF11,"-")</f>
        <v>13.480000000000084</v>
      </c>
      <c r="CJ11" s="12">
        <f t="shared" si="2"/>
        <v>2.504645113340781E-3</v>
      </c>
      <c r="CK11" s="56">
        <f t="shared" si="3"/>
        <v>6.740000000000042</v>
      </c>
      <c r="CL11" s="53">
        <f t="shared" si="4"/>
        <v>0.27749535488665922</v>
      </c>
      <c r="CM11" s="15">
        <f t="shared" si="5"/>
        <v>746.74</v>
      </c>
      <c r="CN11" s="15">
        <f t="shared" si="6"/>
        <v>2691</v>
      </c>
    </row>
    <row r="12" spans="78:92" ht="15.75" x14ac:dyDescent="0.25">
      <c r="BZ12" s="79" t="s">
        <v>10</v>
      </c>
      <c r="CA12" s="79" t="s">
        <v>7</v>
      </c>
      <c r="CB12" s="71">
        <v>80</v>
      </c>
      <c r="CC12" s="96">
        <v>376.75</v>
      </c>
      <c r="CD12" s="82">
        <v>0.21234240212342403</v>
      </c>
      <c r="CE12" s="119">
        <v>128</v>
      </c>
      <c r="CF12" s="119">
        <v>463</v>
      </c>
      <c r="CG12" s="18">
        <f t="shared" si="1"/>
        <v>0.27645788336933047</v>
      </c>
      <c r="CH12" s="12">
        <f t="shared" si="0"/>
        <v>3.5421166306695562E-3</v>
      </c>
      <c r="CI12" s="56">
        <f>IFERROR(CH12*CF12,"-")</f>
        <v>1.6400000000000046</v>
      </c>
      <c r="CJ12" s="12">
        <f t="shared" si="2"/>
        <v>1.7710583153347781E-3</v>
      </c>
      <c r="CK12" s="56">
        <f t="shared" si="3"/>
        <v>0.82000000000000228</v>
      </c>
      <c r="CL12" s="53">
        <f t="shared" si="4"/>
        <v>0.27822894168466528</v>
      </c>
      <c r="CM12" s="15">
        <f t="shared" si="5"/>
        <v>128.82000000000002</v>
      </c>
      <c r="CN12" s="15">
        <f t="shared" si="6"/>
        <v>463</v>
      </c>
    </row>
    <row r="13" spans="78:92" ht="15.75" x14ac:dyDescent="0.25">
      <c r="BZ13" s="79" t="s">
        <v>11</v>
      </c>
      <c r="CA13" s="79" t="s">
        <v>7</v>
      </c>
      <c r="CB13" s="71">
        <v>583</v>
      </c>
      <c r="CC13" s="96">
        <v>1749.8500000000001</v>
      </c>
      <c r="CD13" s="82">
        <v>0.33317141469268791</v>
      </c>
      <c r="CE13" s="119">
        <v>648</v>
      </c>
      <c r="CF13" s="119">
        <v>1948</v>
      </c>
      <c r="CG13" s="18">
        <f t="shared" si="1"/>
        <v>0.3326488706365503</v>
      </c>
      <c r="CH13" s="12" t="str">
        <f t="shared" si="0"/>
        <v>-</v>
      </c>
      <c r="CI13" s="56" t="str">
        <f t="shared" ref="CI13:CI41" si="7">IFERROR(CH13*CF13,"-")</f>
        <v>-</v>
      </c>
      <c r="CJ13" s="12" t="str">
        <f t="shared" si="2"/>
        <v>-</v>
      </c>
      <c r="CK13" s="56" t="str">
        <f t="shared" si="3"/>
        <v>-</v>
      </c>
      <c r="CL13" s="53">
        <f t="shared" si="4"/>
        <v>0.3326488706365503</v>
      </c>
      <c r="CM13" s="15">
        <f t="shared" si="5"/>
        <v>648</v>
      </c>
      <c r="CN13" s="15">
        <f t="shared" si="6"/>
        <v>1948</v>
      </c>
    </row>
    <row r="14" spans="78:92" ht="15.75" x14ac:dyDescent="0.25">
      <c r="BZ14" s="79" t="s">
        <v>12</v>
      </c>
      <c r="CA14" s="79" t="s">
        <v>7</v>
      </c>
      <c r="CB14" s="71">
        <v>240</v>
      </c>
      <c r="CC14" s="96">
        <v>1158.0500000000002</v>
      </c>
      <c r="CD14" s="82">
        <v>0.20724493761063853</v>
      </c>
      <c r="CE14" s="119">
        <v>276</v>
      </c>
      <c r="CF14" s="119">
        <v>1216</v>
      </c>
      <c r="CG14" s="18">
        <f t="shared" si="1"/>
        <v>0.22697368421052633</v>
      </c>
      <c r="CH14" s="12">
        <f t="shared" si="0"/>
        <v>5.3026315789473699E-2</v>
      </c>
      <c r="CI14" s="56">
        <f t="shared" si="7"/>
        <v>64.480000000000018</v>
      </c>
      <c r="CJ14" s="12">
        <f t="shared" si="2"/>
        <v>2.651315789473685E-2</v>
      </c>
      <c r="CK14" s="56">
        <f t="shared" si="3"/>
        <v>32.240000000000009</v>
      </c>
      <c r="CL14" s="53">
        <f t="shared" si="4"/>
        <v>0.25348684210526318</v>
      </c>
      <c r="CM14" s="15">
        <f t="shared" si="5"/>
        <v>308.24</v>
      </c>
      <c r="CN14" s="15">
        <f t="shared" si="6"/>
        <v>1216</v>
      </c>
    </row>
    <row r="15" spans="78:92" ht="15.75" x14ac:dyDescent="0.25">
      <c r="BZ15" s="79" t="s">
        <v>13</v>
      </c>
      <c r="CA15" s="79" t="s">
        <v>7</v>
      </c>
      <c r="CB15" s="71">
        <v>493</v>
      </c>
      <c r="CC15" s="96">
        <v>1979.5500000000002</v>
      </c>
      <c r="CD15" s="82">
        <v>0.24904650046727789</v>
      </c>
      <c r="CE15" s="119">
        <v>628</v>
      </c>
      <c r="CF15" s="119">
        <v>2211</v>
      </c>
      <c r="CG15" s="18">
        <f t="shared" si="1"/>
        <v>0.28403437358661238</v>
      </c>
      <c r="CH15" s="12" t="str">
        <f t="shared" si="0"/>
        <v>-</v>
      </c>
      <c r="CI15" s="56" t="str">
        <f t="shared" si="7"/>
        <v>-</v>
      </c>
      <c r="CJ15" s="12" t="str">
        <f t="shared" si="2"/>
        <v>-</v>
      </c>
      <c r="CK15" s="56" t="str">
        <f t="shared" si="3"/>
        <v>-</v>
      </c>
      <c r="CL15" s="53">
        <f t="shared" si="4"/>
        <v>0.28403437358661238</v>
      </c>
      <c r="CM15" s="15">
        <f t="shared" si="5"/>
        <v>628</v>
      </c>
      <c r="CN15" s="15">
        <f t="shared" si="6"/>
        <v>2211</v>
      </c>
    </row>
    <row r="16" spans="78:92" ht="15.75" x14ac:dyDescent="0.25">
      <c r="BZ16" s="79" t="s">
        <v>14</v>
      </c>
      <c r="CA16" s="79" t="s">
        <v>7</v>
      </c>
      <c r="CB16" s="71">
        <v>305</v>
      </c>
      <c r="CC16" s="96">
        <v>1029.95</v>
      </c>
      <c r="CD16" s="82">
        <v>0.29613088013981259</v>
      </c>
      <c r="CE16" s="119">
        <v>314</v>
      </c>
      <c r="CF16" s="119">
        <v>1173</v>
      </c>
      <c r="CG16" s="18">
        <f t="shared" si="1"/>
        <v>0.26768968456947995</v>
      </c>
      <c r="CH16" s="12">
        <f t="shared" si="0"/>
        <v>1.231031543052008E-2</v>
      </c>
      <c r="CI16" s="56">
        <f t="shared" si="7"/>
        <v>14.440000000000055</v>
      </c>
      <c r="CJ16" s="12">
        <f t="shared" si="2"/>
        <v>6.1551577152600401E-3</v>
      </c>
      <c r="CK16" s="56">
        <f t="shared" si="3"/>
        <v>7.2200000000000273</v>
      </c>
      <c r="CL16" s="53">
        <f t="shared" si="4"/>
        <v>0.27384484228473999</v>
      </c>
      <c r="CM16" s="15">
        <f t="shared" si="5"/>
        <v>321.22000000000003</v>
      </c>
      <c r="CN16" s="15">
        <f t="shared" si="6"/>
        <v>1173</v>
      </c>
    </row>
    <row r="17" spans="78:92" ht="15.75" x14ac:dyDescent="0.25">
      <c r="BZ17" s="79" t="s">
        <v>15</v>
      </c>
      <c r="CA17" s="79" t="s">
        <v>7</v>
      </c>
      <c r="CB17" s="71">
        <v>85</v>
      </c>
      <c r="CC17" s="96">
        <v>506.5</v>
      </c>
      <c r="CD17" s="82">
        <v>0.16781836130306022</v>
      </c>
      <c r="CE17" s="119">
        <v>113</v>
      </c>
      <c r="CF17" s="119">
        <v>508</v>
      </c>
      <c r="CG17" s="18">
        <f t="shared" si="1"/>
        <v>0.22244094488188976</v>
      </c>
      <c r="CH17" s="12">
        <f t="shared" si="0"/>
        <v>5.7559055118110269E-2</v>
      </c>
      <c r="CI17" s="56">
        <f t="shared" si="7"/>
        <v>29.240000000000016</v>
      </c>
      <c r="CJ17" s="12">
        <f t="shared" si="2"/>
        <v>2.8779527559055135E-2</v>
      </c>
      <c r="CK17" s="56">
        <f t="shared" si="3"/>
        <v>14.620000000000008</v>
      </c>
      <c r="CL17" s="53">
        <f t="shared" si="4"/>
        <v>0.25122047244094492</v>
      </c>
      <c r="CM17" s="15">
        <f t="shared" si="5"/>
        <v>127.62000000000002</v>
      </c>
      <c r="CN17" s="15">
        <f t="shared" si="6"/>
        <v>508</v>
      </c>
    </row>
    <row r="18" spans="78:92" ht="15.75" x14ac:dyDescent="0.25">
      <c r="BZ18" s="79" t="s">
        <v>16</v>
      </c>
      <c r="CA18" s="79" t="s">
        <v>7</v>
      </c>
      <c r="CB18" s="71">
        <v>238</v>
      </c>
      <c r="CC18" s="96">
        <v>847.9</v>
      </c>
      <c r="CD18" s="82">
        <v>0.28069347800448169</v>
      </c>
      <c r="CE18" s="119">
        <v>297</v>
      </c>
      <c r="CF18" s="119">
        <v>994</v>
      </c>
      <c r="CG18" s="18">
        <f t="shared" si="1"/>
        <v>0.29879275653923543</v>
      </c>
      <c r="CH18" s="12" t="str">
        <f t="shared" si="0"/>
        <v>-</v>
      </c>
      <c r="CI18" s="56" t="str">
        <f t="shared" si="7"/>
        <v>-</v>
      </c>
      <c r="CJ18" s="12" t="str">
        <f t="shared" si="2"/>
        <v>-</v>
      </c>
      <c r="CK18" s="56" t="str">
        <f t="shared" si="3"/>
        <v>-</v>
      </c>
      <c r="CL18" s="53">
        <f t="shared" si="4"/>
        <v>0.29879275653923543</v>
      </c>
      <c r="CM18" s="15">
        <f t="shared" si="5"/>
        <v>297</v>
      </c>
      <c r="CN18" s="15">
        <f t="shared" si="6"/>
        <v>994</v>
      </c>
    </row>
    <row r="19" spans="78:92" ht="15.75" x14ac:dyDescent="0.25">
      <c r="BZ19" s="79" t="s">
        <v>17</v>
      </c>
      <c r="CA19" s="79" t="s">
        <v>7</v>
      </c>
      <c r="CB19" s="71">
        <v>300</v>
      </c>
      <c r="CC19" s="96">
        <v>1307.75</v>
      </c>
      <c r="CD19" s="82">
        <v>0.22940164404511565</v>
      </c>
      <c r="CE19" s="119">
        <v>448</v>
      </c>
      <c r="CF19" s="119">
        <v>1528</v>
      </c>
      <c r="CG19" s="18">
        <f t="shared" si="1"/>
        <v>0.29319371727748689</v>
      </c>
      <c r="CH19" s="12" t="str">
        <f t="shared" si="0"/>
        <v>-</v>
      </c>
      <c r="CI19" s="56" t="str">
        <f t="shared" si="7"/>
        <v>-</v>
      </c>
      <c r="CJ19" s="12" t="str">
        <f t="shared" si="2"/>
        <v>-</v>
      </c>
      <c r="CK19" s="56" t="str">
        <f t="shared" si="3"/>
        <v>-</v>
      </c>
      <c r="CL19" s="53">
        <f t="shared" si="4"/>
        <v>0.29319371727748689</v>
      </c>
      <c r="CM19" s="15">
        <f t="shared" si="5"/>
        <v>447.99999999999994</v>
      </c>
      <c r="CN19" s="15">
        <f t="shared" si="6"/>
        <v>1528</v>
      </c>
    </row>
    <row r="20" spans="78:92" ht="15.75" x14ac:dyDescent="0.25">
      <c r="BZ20" s="79" t="s">
        <v>18</v>
      </c>
      <c r="CA20" s="79" t="s">
        <v>7</v>
      </c>
      <c r="CB20" s="71">
        <v>539</v>
      </c>
      <c r="CC20" s="96">
        <v>1850.6000000000001</v>
      </c>
      <c r="CD20" s="82">
        <v>0.29125688965740837</v>
      </c>
      <c r="CE20" s="119">
        <v>655</v>
      </c>
      <c r="CF20" s="119">
        <v>2157</v>
      </c>
      <c r="CG20" s="18">
        <f t="shared" si="1"/>
        <v>0.30366249420491426</v>
      </c>
      <c r="CH20" s="12" t="str">
        <f t="shared" si="0"/>
        <v>-</v>
      </c>
      <c r="CI20" s="56" t="str">
        <f t="shared" si="7"/>
        <v>-</v>
      </c>
      <c r="CJ20" s="12" t="str">
        <f t="shared" si="2"/>
        <v>-</v>
      </c>
      <c r="CK20" s="56" t="str">
        <f t="shared" si="3"/>
        <v>-</v>
      </c>
      <c r="CL20" s="53">
        <f t="shared" si="4"/>
        <v>0.30366249420491426</v>
      </c>
      <c r="CM20" s="15">
        <f t="shared" si="5"/>
        <v>655</v>
      </c>
      <c r="CN20" s="15">
        <f t="shared" si="6"/>
        <v>2157</v>
      </c>
    </row>
    <row r="21" spans="78:92" ht="15.75" x14ac:dyDescent="0.25">
      <c r="BZ21" s="79" t="s">
        <v>19</v>
      </c>
      <c r="CA21" s="79" t="s">
        <v>7</v>
      </c>
      <c r="CB21" s="71">
        <v>100</v>
      </c>
      <c r="CC21" s="96">
        <v>842</v>
      </c>
      <c r="CD21" s="82">
        <v>0.11876484560570071</v>
      </c>
      <c r="CE21" s="119">
        <v>225</v>
      </c>
      <c r="CF21" s="119">
        <v>998</v>
      </c>
      <c r="CG21" s="18">
        <f t="shared" si="1"/>
        <v>0.22545090180360722</v>
      </c>
      <c r="CH21" s="12">
        <f t="shared" si="0"/>
        <v>5.4549098196392809E-2</v>
      </c>
      <c r="CI21" s="56">
        <f t="shared" si="7"/>
        <v>54.440000000000026</v>
      </c>
      <c r="CJ21" s="12">
        <f t="shared" si="2"/>
        <v>2.7274549098196404E-2</v>
      </c>
      <c r="CK21" s="56">
        <f t="shared" si="3"/>
        <v>27.220000000000013</v>
      </c>
      <c r="CL21" s="53">
        <f t="shared" si="4"/>
        <v>0.25272545090180365</v>
      </c>
      <c r="CM21" s="15">
        <f t="shared" si="5"/>
        <v>252.22000000000006</v>
      </c>
      <c r="CN21" s="15">
        <f t="shared" si="6"/>
        <v>998</v>
      </c>
    </row>
    <row r="22" spans="78:92" ht="15.75" x14ac:dyDescent="0.25">
      <c r="BZ22" s="79" t="s">
        <v>20</v>
      </c>
      <c r="CA22" s="79" t="s">
        <v>7</v>
      </c>
      <c r="CB22" s="71">
        <v>158</v>
      </c>
      <c r="CC22" s="96">
        <v>485.75</v>
      </c>
      <c r="CD22" s="82">
        <v>0.32527020072053525</v>
      </c>
      <c r="CE22" s="119">
        <v>159</v>
      </c>
      <c r="CF22" s="119">
        <v>552</v>
      </c>
      <c r="CG22" s="18">
        <f t="shared" si="1"/>
        <v>0.28804347826086957</v>
      </c>
      <c r="CH22" s="12" t="str">
        <f t="shared" si="0"/>
        <v>-</v>
      </c>
      <c r="CI22" s="56" t="str">
        <f t="shared" si="7"/>
        <v>-</v>
      </c>
      <c r="CJ22" s="12" t="str">
        <f t="shared" si="2"/>
        <v>-</v>
      </c>
      <c r="CK22" s="56" t="str">
        <f t="shared" si="3"/>
        <v>-</v>
      </c>
      <c r="CL22" s="53">
        <f t="shared" si="4"/>
        <v>0.28804347826086957</v>
      </c>
      <c r="CM22" s="15">
        <f t="shared" si="5"/>
        <v>159</v>
      </c>
      <c r="CN22" s="15">
        <f t="shared" si="6"/>
        <v>552</v>
      </c>
    </row>
    <row r="23" spans="78:92" ht="15.75" x14ac:dyDescent="0.25">
      <c r="BZ23" s="79" t="s">
        <v>21</v>
      </c>
      <c r="CA23" s="79" t="s">
        <v>7</v>
      </c>
      <c r="CB23" s="71">
        <v>0</v>
      </c>
      <c r="CC23" s="96">
        <v>424.75</v>
      </c>
      <c r="CD23" s="82">
        <v>0</v>
      </c>
      <c r="CE23" s="119">
        <v>159</v>
      </c>
      <c r="CF23" s="119">
        <v>479</v>
      </c>
      <c r="CG23" s="18">
        <f t="shared" si="1"/>
        <v>0.33194154488517746</v>
      </c>
      <c r="CH23" s="12" t="str">
        <f t="shared" si="0"/>
        <v>-</v>
      </c>
      <c r="CI23" s="56" t="str">
        <f t="shared" si="7"/>
        <v>-</v>
      </c>
      <c r="CJ23" s="12" t="str">
        <f t="shared" si="2"/>
        <v>-</v>
      </c>
      <c r="CK23" s="56" t="str">
        <f t="shared" si="3"/>
        <v>-</v>
      </c>
      <c r="CL23" s="53">
        <f t="shared" si="4"/>
        <v>0.33194154488517746</v>
      </c>
      <c r="CM23" s="15">
        <f t="shared" si="5"/>
        <v>159</v>
      </c>
      <c r="CN23" s="15">
        <f t="shared" si="6"/>
        <v>479</v>
      </c>
    </row>
    <row r="24" spans="78:92" ht="15.75" x14ac:dyDescent="0.25">
      <c r="BZ24" s="79" t="s">
        <v>22</v>
      </c>
      <c r="CA24" s="79" t="s">
        <v>7</v>
      </c>
      <c r="CB24" s="71">
        <v>155</v>
      </c>
      <c r="CC24" s="96">
        <v>577</v>
      </c>
      <c r="CD24" s="82">
        <v>0.268630849220104</v>
      </c>
      <c r="CE24" s="119">
        <v>129</v>
      </c>
      <c r="CF24" s="119">
        <v>716</v>
      </c>
      <c r="CG24" s="18">
        <f t="shared" si="1"/>
        <v>0.18016759776536312</v>
      </c>
      <c r="CH24" s="12">
        <f t="shared" si="0"/>
        <v>9.9832402234636908E-2</v>
      </c>
      <c r="CI24" s="56">
        <f t="shared" si="7"/>
        <v>71.480000000000032</v>
      </c>
      <c r="CJ24" s="12">
        <f t="shared" si="2"/>
        <v>4.9916201117318454E-2</v>
      </c>
      <c r="CK24" s="56">
        <f t="shared" si="3"/>
        <v>35.740000000000016</v>
      </c>
      <c r="CL24" s="53">
        <f t="shared" si="4"/>
        <v>0.23008379888268157</v>
      </c>
      <c r="CM24" s="15">
        <f t="shared" si="5"/>
        <v>164.74</v>
      </c>
      <c r="CN24" s="15">
        <f t="shared" si="6"/>
        <v>716</v>
      </c>
    </row>
    <row r="25" spans="78:92" ht="15.75" x14ac:dyDescent="0.25">
      <c r="BZ25" s="79" t="s">
        <v>23</v>
      </c>
      <c r="CA25" s="79" t="s">
        <v>7</v>
      </c>
      <c r="CB25" s="71">
        <v>340</v>
      </c>
      <c r="CC25" s="96">
        <v>916.65000000000009</v>
      </c>
      <c r="CD25" s="82">
        <v>0.37091583483336055</v>
      </c>
      <c r="CE25" s="119">
        <v>269</v>
      </c>
      <c r="CF25" s="119">
        <v>1030</v>
      </c>
      <c r="CG25" s="18">
        <f t="shared" ref="CG25:CG40" si="8">CE25/CF25</f>
        <v>0.26116504854368933</v>
      </c>
      <c r="CH25" s="12">
        <f t="shared" si="0"/>
        <v>1.88349514563107E-2</v>
      </c>
      <c r="CI25" s="56">
        <f t="shared" si="7"/>
        <v>19.40000000000002</v>
      </c>
      <c r="CJ25" s="12">
        <f t="shared" si="2"/>
        <v>9.4174757281553501E-3</v>
      </c>
      <c r="CK25" s="56">
        <f t="shared" si="3"/>
        <v>9.7000000000000099</v>
      </c>
      <c r="CL25" s="53">
        <f t="shared" si="4"/>
        <v>0.2705825242718447</v>
      </c>
      <c r="CM25" s="15">
        <f t="shared" si="5"/>
        <v>278.70000000000005</v>
      </c>
      <c r="CN25" s="15">
        <f t="shared" si="6"/>
        <v>1030</v>
      </c>
    </row>
    <row r="26" spans="78:92" ht="15.75" x14ac:dyDescent="0.25">
      <c r="BZ26" s="80"/>
      <c r="CA26" s="90" t="s">
        <v>7</v>
      </c>
      <c r="CB26" s="73">
        <v>5211</v>
      </c>
      <c r="CC26" s="97">
        <v>22667.85</v>
      </c>
      <c r="CD26" s="85">
        <v>0.22988505747126439</v>
      </c>
      <c r="CE26" s="118">
        <f>SUM(CE9:CE25)</f>
        <v>6906</v>
      </c>
      <c r="CF26" s="118">
        <f>SUM(CF9:CF25)</f>
        <v>26084</v>
      </c>
      <c r="CG26" s="33">
        <f t="shared" si="8"/>
        <v>0.2647600061340285</v>
      </c>
      <c r="CH26" s="28"/>
      <c r="CI26" s="28"/>
      <c r="CJ26" s="27"/>
      <c r="CK26" s="28"/>
      <c r="CL26" s="113"/>
      <c r="CM26" s="28"/>
      <c r="CN26" s="29"/>
    </row>
    <row r="27" spans="78:92" ht="15.75" x14ac:dyDescent="0.25">
      <c r="BZ27" s="79" t="s">
        <v>24</v>
      </c>
      <c r="CA27" s="79" t="s">
        <v>25</v>
      </c>
      <c r="CB27" s="71">
        <v>130</v>
      </c>
      <c r="CC27" s="96">
        <v>600.04999999999995</v>
      </c>
      <c r="CD27" s="82">
        <v>0.21664861261561538</v>
      </c>
      <c r="CE27" s="119">
        <v>241</v>
      </c>
      <c r="CF27" s="119">
        <v>718</v>
      </c>
      <c r="CG27" s="18">
        <f t="shared" si="8"/>
        <v>0.33565459610027853</v>
      </c>
      <c r="CH27" s="12" t="str">
        <f t="shared" ref="CH27:CH33" si="9">IF(CG27&lt;$CH$3,$CH$3-CG27,"-")</f>
        <v>-</v>
      </c>
      <c r="CI27" s="56" t="str">
        <f t="shared" si="7"/>
        <v>-</v>
      </c>
      <c r="CJ27" s="12" t="str">
        <f t="shared" si="2"/>
        <v>-</v>
      </c>
      <c r="CK27" s="56" t="str">
        <f t="shared" ref="CK27:CK41" si="10">IFERROR(CJ27*CF27,"-")</f>
        <v>-</v>
      </c>
      <c r="CL27" s="53">
        <f>IFERROR((CJ27+CG27),IF(CG27&gt;$CH$3,CG27))</f>
        <v>0.33565459610027853</v>
      </c>
      <c r="CM27" s="15">
        <f>CN27*CL27</f>
        <v>241</v>
      </c>
      <c r="CN27" s="15">
        <f t="shared" si="6"/>
        <v>718</v>
      </c>
    </row>
    <row r="28" spans="78:92" ht="15.75" x14ac:dyDescent="0.25">
      <c r="BZ28" s="79" t="s">
        <v>26</v>
      </c>
      <c r="CA28" s="79" t="s">
        <v>25</v>
      </c>
      <c r="CB28" s="71">
        <v>83</v>
      </c>
      <c r="CC28" s="96">
        <v>250.9</v>
      </c>
      <c r="CD28" s="82">
        <v>0.33080908728577124</v>
      </c>
      <c r="CE28" s="119">
        <v>138</v>
      </c>
      <c r="CF28" s="119">
        <v>380</v>
      </c>
      <c r="CG28" s="18">
        <f t="shared" si="8"/>
        <v>0.36315789473684212</v>
      </c>
      <c r="CH28" s="12" t="str">
        <f t="shared" si="9"/>
        <v>-</v>
      </c>
      <c r="CI28" s="56" t="str">
        <f t="shared" si="7"/>
        <v>-</v>
      </c>
      <c r="CJ28" s="12" t="str">
        <f t="shared" si="2"/>
        <v>-</v>
      </c>
      <c r="CK28" s="56" t="str">
        <f t="shared" si="10"/>
        <v>-</v>
      </c>
      <c r="CL28" s="53">
        <f t="shared" ref="CL28:CL41" si="11">IFERROR((CJ28+CG28),IF(CG28&gt;$CH$3,CG28))</f>
        <v>0.36315789473684212</v>
      </c>
      <c r="CM28" s="15">
        <f t="shared" ref="CM28:CM33" si="12">CN28*CL28</f>
        <v>138</v>
      </c>
      <c r="CN28" s="15">
        <f t="shared" si="6"/>
        <v>380</v>
      </c>
    </row>
    <row r="29" spans="78:92" ht="15.75" x14ac:dyDescent="0.25">
      <c r="BZ29" s="79" t="s">
        <v>27</v>
      </c>
      <c r="CA29" s="79" t="s">
        <v>25</v>
      </c>
      <c r="CB29" s="71">
        <v>256</v>
      </c>
      <c r="CC29" s="96">
        <v>622.15000000000009</v>
      </c>
      <c r="CD29" s="82">
        <v>0.41147633207425854</v>
      </c>
      <c r="CE29" s="119">
        <v>260</v>
      </c>
      <c r="CF29" s="119">
        <v>745</v>
      </c>
      <c r="CG29" s="18">
        <f t="shared" si="8"/>
        <v>0.34899328859060402</v>
      </c>
      <c r="CH29" s="12" t="str">
        <f t="shared" si="9"/>
        <v>-</v>
      </c>
      <c r="CI29" s="56" t="str">
        <f t="shared" si="7"/>
        <v>-</v>
      </c>
      <c r="CJ29" s="12" t="str">
        <f t="shared" si="2"/>
        <v>-</v>
      </c>
      <c r="CK29" s="56" t="str">
        <f t="shared" si="10"/>
        <v>-</v>
      </c>
      <c r="CL29" s="53">
        <f t="shared" si="11"/>
        <v>0.34899328859060402</v>
      </c>
      <c r="CM29" s="15">
        <f t="shared" si="12"/>
        <v>260</v>
      </c>
      <c r="CN29" s="15">
        <f t="shared" si="6"/>
        <v>745</v>
      </c>
    </row>
    <row r="30" spans="78:92" ht="15.75" x14ac:dyDescent="0.25">
      <c r="BZ30" s="79" t="s">
        <v>28</v>
      </c>
      <c r="CA30" s="79" t="s">
        <v>25</v>
      </c>
      <c r="CB30" s="71">
        <v>190</v>
      </c>
      <c r="CC30" s="96">
        <v>559.1</v>
      </c>
      <c r="CD30" s="82">
        <v>0.33983187265247716</v>
      </c>
      <c r="CE30" s="119">
        <v>397</v>
      </c>
      <c r="CF30" s="119">
        <v>682</v>
      </c>
      <c r="CG30" s="18">
        <f t="shared" si="8"/>
        <v>0.58211143695014667</v>
      </c>
      <c r="CH30" s="12" t="str">
        <f t="shared" si="9"/>
        <v>-</v>
      </c>
      <c r="CI30" s="56" t="str">
        <f t="shared" si="7"/>
        <v>-</v>
      </c>
      <c r="CJ30" s="12" t="str">
        <f t="shared" si="2"/>
        <v>-</v>
      </c>
      <c r="CK30" s="56" t="str">
        <f t="shared" si="10"/>
        <v>-</v>
      </c>
      <c r="CL30" s="53">
        <f t="shared" si="11"/>
        <v>0.58211143695014667</v>
      </c>
      <c r="CM30" s="15">
        <f t="shared" si="12"/>
        <v>397</v>
      </c>
      <c r="CN30" s="15">
        <f t="shared" si="6"/>
        <v>682</v>
      </c>
    </row>
    <row r="31" spans="78:92" ht="15.75" x14ac:dyDescent="0.25">
      <c r="BZ31" s="79" t="s">
        <v>29</v>
      </c>
      <c r="CA31" s="79" t="s">
        <v>25</v>
      </c>
      <c r="CB31" s="71">
        <v>16</v>
      </c>
      <c r="CC31" s="96">
        <v>46.1</v>
      </c>
      <c r="CD31" s="82">
        <v>0.34707158351409978</v>
      </c>
      <c r="CE31" s="119">
        <v>20</v>
      </c>
      <c r="CF31" s="119">
        <v>57</v>
      </c>
      <c r="CG31" s="18">
        <f t="shared" si="8"/>
        <v>0.35087719298245612</v>
      </c>
      <c r="CH31" s="12" t="str">
        <f t="shared" si="9"/>
        <v>-</v>
      </c>
      <c r="CI31" s="56" t="str">
        <f t="shared" si="7"/>
        <v>-</v>
      </c>
      <c r="CJ31" s="12" t="str">
        <f t="shared" si="2"/>
        <v>-</v>
      </c>
      <c r="CK31" s="56" t="str">
        <f t="shared" si="10"/>
        <v>-</v>
      </c>
      <c r="CL31" s="53">
        <f t="shared" si="11"/>
        <v>0.35087719298245612</v>
      </c>
      <c r="CM31" s="15">
        <f t="shared" si="12"/>
        <v>20</v>
      </c>
      <c r="CN31" s="15">
        <f t="shared" si="6"/>
        <v>57</v>
      </c>
    </row>
    <row r="32" spans="78:92" ht="15.75" x14ac:dyDescent="0.25">
      <c r="BZ32" s="79" t="s">
        <v>30</v>
      </c>
      <c r="CA32" s="79" t="s">
        <v>25</v>
      </c>
      <c r="CB32" s="71">
        <v>182</v>
      </c>
      <c r="CC32" s="96">
        <v>655.7</v>
      </c>
      <c r="CD32" s="82">
        <v>0.27756596004270245</v>
      </c>
      <c r="CE32" s="119">
        <v>97</v>
      </c>
      <c r="CF32" s="119">
        <v>781</v>
      </c>
      <c r="CG32" s="18">
        <f t="shared" si="8"/>
        <v>0.12419974391805377</v>
      </c>
      <c r="CH32" s="12">
        <f t="shared" si="9"/>
        <v>0.15580025608194625</v>
      </c>
      <c r="CI32" s="56">
        <f t="shared" si="7"/>
        <v>121.68000000000002</v>
      </c>
      <c r="CJ32" s="12">
        <f t="shared" si="2"/>
        <v>7.7900128040973127E-2</v>
      </c>
      <c r="CK32" s="56">
        <f t="shared" si="10"/>
        <v>60.840000000000011</v>
      </c>
      <c r="CL32" s="53">
        <f t="shared" si="11"/>
        <v>0.2020998719590269</v>
      </c>
      <c r="CM32" s="15">
        <f t="shared" si="12"/>
        <v>157.84</v>
      </c>
      <c r="CN32" s="15">
        <f t="shared" si="6"/>
        <v>781</v>
      </c>
    </row>
    <row r="33" spans="78:92" ht="15.75" x14ac:dyDescent="0.25">
      <c r="BZ33" s="79" t="s">
        <v>31</v>
      </c>
      <c r="CA33" s="79" t="s">
        <v>25</v>
      </c>
      <c r="CB33" s="71">
        <v>204</v>
      </c>
      <c r="CC33" s="96">
        <v>637.29999999999995</v>
      </c>
      <c r="CD33" s="82">
        <v>0.32010042366232544</v>
      </c>
      <c r="CE33" s="119">
        <v>162</v>
      </c>
      <c r="CF33" s="119">
        <v>722</v>
      </c>
      <c r="CG33" s="18">
        <f t="shared" si="8"/>
        <v>0.22437673130193905</v>
      </c>
      <c r="CH33" s="12">
        <f t="shared" si="9"/>
        <v>5.5623268698060974E-2</v>
      </c>
      <c r="CI33" s="56">
        <f t="shared" si="7"/>
        <v>40.160000000000025</v>
      </c>
      <c r="CJ33" s="12">
        <f t="shared" si="2"/>
        <v>2.7811634349030487E-2</v>
      </c>
      <c r="CK33" s="56">
        <f t="shared" si="10"/>
        <v>20.080000000000013</v>
      </c>
      <c r="CL33" s="53">
        <f t="shared" si="11"/>
        <v>0.25218836565096953</v>
      </c>
      <c r="CM33" s="15">
        <f t="shared" si="12"/>
        <v>182.07999999999998</v>
      </c>
      <c r="CN33" s="15">
        <f t="shared" si="6"/>
        <v>722</v>
      </c>
    </row>
    <row r="34" spans="78:92" ht="15.75" x14ac:dyDescent="0.25">
      <c r="BZ34" s="80"/>
      <c r="CA34" s="90" t="s">
        <v>25</v>
      </c>
      <c r="CB34" s="73">
        <v>1061</v>
      </c>
      <c r="CC34" s="97">
        <v>3371.3</v>
      </c>
      <c r="CD34" s="85">
        <v>0.31471539168866608</v>
      </c>
      <c r="CE34" s="118">
        <f>SUM(CE27:CE33)</f>
        <v>1315</v>
      </c>
      <c r="CF34" s="118">
        <f>SUM(CF27:CF33)</f>
        <v>4085</v>
      </c>
      <c r="CG34" s="33">
        <f t="shared" si="8"/>
        <v>0.32190942472460221</v>
      </c>
      <c r="CH34" s="28"/>
      <c r="CI34" s="28"/>
      <c r="CJ34" s="27"/>
      <c r="CK34" s="28"/>
      <c r="CL34" s="113"/>
      <c r="CM34" s="28"/>
      <c r="CN34" s="29"/>
    </row>
    <row r="35" spans="78:92" ht="15.75" x14ac:dyDescent="0.25">
      <c r="BZ35" s="79" t="s">
        <v>32</v>
      </c>
      <c r="CA35" s="79" t="s">
        <v>33</v>
      </c>
      <c r="CB35" s="71">
        <v>503</v>
      </c>
      <c r="CC35" s="96">
        <v>2168.9499999999998</v>
      </c>
      <c r="CD35" s="82">
        <v>0.23190944927268958</v>
      </c>
      <c r="CE35" s="119">
        <v>799</v>
      </c>
      <c r="CF35" s="119">
        <v>2441</v>
      </c>
      <c r="CG35" s="18">
        <f t="shared" si="8"/>
        <v>0.32732486685784512</v>
      </c>
      <c r="CH35" s="12" t="str">
        <f t="shared" ref="CH35:CH41" si="13">IF(CG35&lt;$CH$3,$CH$3-CG35,"-")</f>
        <v>-</v>
      </c>
      <c r="CI35" s="56" t="str">
        <f t="shared" si="7"/>
        <v>-</v>
      </c>
      <c r="CJ35" s="12" t="str">
        <f t="shared" si="2"/>
        <v>-</v>
      </c>
      <c r="CK35" s="56" t="str">
        <f t="shared" si="10"/>
        <v>-</v>
      </c>
      <c r="CL35" s="53">
        <f t="shared" si="11"/>
        <v>0.32732486685784512</v>
      </c>
      <c r="CM35" s="15">
        <f>CN35*CL35</f>
        <v>798.99999999999989</v>
      </c>
      <c r="CN35" s="15">
        <f t="shared" si="6"/>
        <v>2441</v>
      </c>
    </row>
    <row r="36" spans="78:92" ht="15.75" x14ac:dyDescent="0.25">
      <c r="BZ36" s="79" t="s">
        <v>34</v>
      </c>
      <c r="CA36" s="79" t="s">
        <v>33</v>
      </c>
      <c r="CB36" s="71">
        <v>156</v>
      </c>
      <c r="CC36" s="96">
        <v>397.05</v>
      </c>
      <c r="CD36" s="82">
        <v>0.39289761994710992</v>
      </c>
      <c r="CE36" s="119">
        <v>162</v>
      </c>
      <c r="CF36" s="119">
        <v>449</v>
      </c>
      <c r="CG36" s="18">
        <f t="shared" si="8"/>
        <v>0.36080178173719374</v>
      </c>
      <c r="CH36" s="12" t="str">
        <f t="shared" si="13"/>
        <v>-</v>
      </c>
      <c r="CI36" s="56" t="str">
        <f t="shared" si="7"/>
        <v>-</v>
      </c>
      <c r="CJ36" s="12" t="str">
        <f t="shared" si="2"/>
        <v>-</v>
      </c>
      <c r="CK36" s="56" t="str">
        <f t="shared" si="10"/>
        <v>-</v>
      </c>
      <c r="CL36" s="53">
        <f t="shared" si="11"/>
        <v>0.36080178173719374</v>
      </c>
      <c r="CM36" s="15">
        <f t="shared" ref="CM36:CM41" si="14">CN36*CL36</f>
        <v>162</v>
      </c>
      <c r="CN36" s="15">
        <f t="shared" si="6"/>
        <v>449</v>
      </c>
    </row>
    <row r="37" spans="78:92" ht="15.75" x14ac:dyDescent="0.25">
      <c r="BZ37" s="79" t="s">
        <v>35</v>
      </c>
      <c r="CA37" s="79" t="s">
        <v>33</v>
      </c>
      <c r="CB37" s="71">
        <v>503</v>
      </c>
      <c r="CC37" s="96">
        <v>1155.2</v>
      </c>
      <c r="CD37" s="82">
        <v>0.43542243767313016</v>
      </c>
      <c r="CE37" s="119">
        <v>496</v>
      </c>
      <c r="CF37" s="119">
        <v>1461</v>
      </c>
      <c r="CG37" s="18">
        <f t="shared" si="8"/>
        <v>0.33949349760438058</v>
      </c>
      <c r="CH37" s="12" t="str">
        <f t="shared" si="13"/>
        <v>-</v>
      </c>
      <c r="CI37" s="56" t="str">
        <f t="shared" si="7"/>
        <v>-</v>
      </c>
      <c r="CJ37" s="12" t="str">
        <f t="shared" si="2"/>
        <v>-</v>
      </c>
      <c r="CK37" s="56" t="str">
        <f t="shared" si="10"/>
        <v>-</v>
      </c>
      <c r="CL37" s="53">
        <f t="shared" si="11"/>
        <v>0.33949349760438058</v>
      </c>
      <c r="CM37" s="15">
        <f t="shared" si="14"/>
        <v>496</v>
      </c>
      <c r="CN37" s="15">
        <f t="shared" si="6"/>
        <v>1461</v>
      </c>
    </row>
    <row r="38" spans="78:92" ht="15.75" x14ac:dyDescent="0.25">
      <c r="BZ38" s="79" t="s">
        <v>36</v>
      </c>
      <c r="CA38" s="79" t="s">
        <v>33</v>
      </c>
      <c r="CB38" s="71">
        <v>672</v>
      </c>
      <c r="CC38" s="96">
        <v>2427.9500000000003</v>
      </c>
      <c r="CD38" s="82">
        <v>0.27677670462736048</v>
      </c>
      <c r="CE38" s="119">
        <v>857</v>
      </c>
      <c r="CF38" s="119">
        <v>2736</v>
      </c>
      <c r="CG38" s="18">
        <f t="shared" si="8"/>
        <v>0.3132309941520468</v>
      </c>
      <c r="CH38" s="12" t="str">
        <f t="shared" si="13"/>
        <v>-</v>
      </c>
      <c r="CI38" s="56" t="str">
        <f t="shared" si="7"/>
        <v>-</v>
      </c>
      <c r="CJ38" s="12" t="str">
        <f t="shared" si="2"/>
        <v>-</v>
      </c>
      <c r="CK38" s="56" t="str">
        <f t="shared" si="10"/>
        <v>-</v>
      </c>
      <c r="CL38" s="53">
        <f t="shared" si="11"/>
        <v>0.3132309941520468</v>
      </c>
      <c r="CM38" s="15">
        <f t="shared" si="14"/>
        <v>857</v>
      </c>
      <c r="CN38" s="15">
        <f t="shared" si="6"/>
        <v>2736</v>
      </c>
    </row>
    <row r="39" spans="78:92" ht="15.75" x14ac:dyDescent="0.25">
      <c r="BZ39" s="79" t="s">
        <v>37</v>
      </c>
      <c r="CA39" s="79" t="s">
        <v>33</v>
      </c>
      <c r="CB39" s="71">
        <v>1112</v>
      </c>
      <c r="CC39" s="96">
        <v>2992.05</v>
      </c>
      <c r="CD39" s="82">
        <v>0.37165154325629585</v>
      </c>
      <c r="CE39" s="119">
        <v>824</v>
      </c>
      <c r="CF39" s="119">
        <v>3389</v>
      </c>
      <c r="CG39" s="18">
        <f t="shared" si="8"/>
        <v>0.24313956919445265</v>
      </c>
      <c r="CH39" s="12">
        <f t="shared" si="13"/>
        <v>3.6860430805547378E-2</v>
      </c>
      <c r="CI39" s="56">
        <f t="shared" si="7"/>
        <v>124.92000000000006</v>
      </c>
      <c r="CJ39" s="12">
        <f t="shared" si="2"/>
        <v>1.8430215402773689E-2</v>
      </c>
      <c r="CK39" s="56">
        <f t="shared" si="10"/>
        <v>62.460000000000029</v>
      </c>
      <c r="CL39" s="53">
        <f t="shared" si="11"/>
        <v>0.26156978459722635</v>
      </c>
      <c r="CM39" s="15">
        <f t="shared" si="14"/>
        <v>886.46000000000015</v>
      </c>
      <c r="CN39" s="15">
        <f t="shared" si="6"/>
        <v>3389</v>
      </c>
    </row>
    <row r="40" spans="78:92" ht="15.75" x14ac:dyDescent="0.25">
      <c r="BZ40" s="79" t="s">
        <v>38</v>
      </c>
      <c r="CA40" s="79" t="s">
        <v>33</v>
      </c>
      <c r="CB40" s="71">
        <v>119</v>
      </c>
      <c r="CC40" s="96">
        <v>500.25</v>
      </c>
      <c r="CD40" s="82">
        <v>0.23788105947026486</v>
      </c>
      <c r="CE40" s="119">
        <v>165</v>
      </c>
      <c r="CF40" s="119">
        <v>582</v>
      </c>
      <c r="CG40" s="18">
        <f t="shared" si="8"/>
        <v>0.28350515463917525</v>
      </c>
      <c r="CH40" s="12" t="str">
        <f t="shared" si="13"/>
        <v>-</v>
      </c>
      <c r="CI40" s="56" t="str">
        <f t="shared" si="7"/>
        <v>-</v>
      </c>
      <c r="CJ40" s="12" t="str">
        <f t="shared" si="2"/>
        <v>-</v>
      </c>
      <c r="CK40" s="56" t="str">
        <f t="shared" si="10"/>
        <v>-</v>
      </c>
      <c r="CL40" s="53">
        <f t="shared" si="11"/>
        <v>0.28350515463917525</v>
      </c>
      <c r="CM40" s="15">
        <f t="shared" si="14"/>
        <v>165</v>
      </c>
      <c r="CN40" s="15">
        <f t="shared" si="6"/>
        <v>582</v>
      </c>
    </row>
    <row r="41" spans="78:92" ht="15.75" x14ac:dyDescent="0.25">
      <c r="BZ41" s="79" t="s">
        <v>39</v>
      </c>
      <c r="CA41" s="79" t="s">
        <v>33</v>
      </c>
      <c r="CB41" s="71">
        <v>411</v>
      </c>
      <c r="CC41" s="96">
        <v>1113.45</v>
      </c>
      <c r="CD41" s="82">
        <v>0.36912299609322374</v>
      </c>
      <c r="CE41" s="119">
        <v>403</v>
      </c>
      <c r="CF41" s="119">
        <v>1396</v>
      </c>
      <c r="CG41" s="18">
        <f t="shared" si="1"/>
        <v>0.28868194842406875</v>
      </c>
      <c r="CH41" s="13" t="str">
        <f t="shared" si="13"/>
        <v>-</v>
      </c>
      <c r="CI41" s="56" t="str">
        <f t="shared" si="7"/>
        <v>-</v>
      </c>
      <c r="CJ41" s="12" t="str">
        <f t="shared" si="2"/>
        <v>-</v>
      </c>
      <c r="CK41" s="56" t="str">
        <f t="shared" si="10"/>
        <v>-</v>
      </c>
      <c r="CL41" s="53">
        <f t="shared" si="11"/>
        <v>0.28868194842406875</v>
      </c>
      <c r="CM41" s="15">
        <f t="shared" si="14"/>
        <v>402.99999999999994</v>
      </c>
      <c r="CN41" s="15">
        <f t="shared" si="6"/>
        <v>1396</v>
      </c>
    </row>
  </sheetData>
  <mergeCells count="17">
    <mergeCell ref="BZ2:BZ3"/>
    <mergeCell ref="CA2:CG3"/>
    <mergeCell ref="CH2:CI2"/>
    <mergeCell ref="CJ2:CN2"/>
    <mergeCell ref="CH3:CI3"/>
    <mergeCell ref="CJ3:CN3"/>
    <mergeCell ref="CN7:CN8"/>
    <mergeCell ref="CA4:CN4"/>
    <mergeCell ref="CA5:CN5"/>
    <mergeCell ref="BZ7:BZ8"/>
    <mergeCell ref="CA7:CA8"/>
    <mergeCell ref="CB7:CD7"/>
    <mergeCell ref="CE7:CG7"/>
    <mergeCell ref="CH7:CI7"/>
    <mergeCell ref="CJ7:CK7"/>
    <mergeCell ref="CL7:CL8"/>
    <mergeCell ref="CM7:CM8"/>
  </mergeCells>
  <pageMargins left="0.7" right="0.7" top="0.75" bottom="0.75" header="0.3" footer="0.3"/>
  <pageSetup scale="70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3BC96-C6EF-4E06-8577-D6DFEBAAF949}">
  <sheetPr>
    <tabColor rgb="FFFFFF00"/>
  </sheetPr>
  <dimension ref="A4:N55"/>
  <sheetViews>
    <sheetView zoomScale="90" zoomScaleNormal="90" workbookViewId="0">
      <selection activeCell="O38" sqref="O38"/>
    </sheetView>
  </sheetViews>
  <sheetFormatPr baseColWidth="10" defaultRowHeight="12.75" x14ac:dyDescent="0.2"/>
  <cols>
    <col min="1" max="1" width="27.7109375" style="123" customWidth="1"/>
    <col min="2" max="2" width="18.5703125" style="123" customWidth="1"/>
    <col min="3" max="3" width="19" style="123" customWidth="1"/>
    <col min="4" max="4" width="18" style="123" customWidth="1"/>
    <col min="5" max="5" width="15.42578125" style="123" customWidth="1"/>
    <col min="6" max="6" width="11.42578125" style="123"/>
    <col min="7" max="7" width="14.28515625" style="123" customWidth="1"/>
    <col min="8" max="8" width="16.5703125" style="123" customWidth="1"/>
    <col min="9" max="9" width="14.42578125" style="123" customWidth="1"/>
    <col min="10" max="10" width="12.5703125" style="123" customWidth="1"/>
    <col min="11" max="11" width="14.140625" style="123" customWidth="1"/>
    <col min="12" max="16384" width="11.42578125" style="123"/>
  </cols>
  <sheetData>
    <row r="4" spans="1:14" x14ac:dyDescent="0.2">
      <c r="B4" s="733" t="s">
        <v>342</v>
      </c>
      <c r="C4" s="733"/>
      <c r="D4" s="733"/>
      <c r="E4" s="733"/>
      <c r="F4" s="733"/>
      <c r="G4" s="733"/>
      <c r="H4" s="733"/>
      <c r="I4" s="733"/>
      <c r="J4" s="733"/>
    </row>
    <row r="5" spans="1:14" ht="13.5" thickBot="1" x14ac:dyDescent="0.25"/>
    <row r="6" spans="1:14" ht="13.5" thickBot="1" x14ac:dyDescent="0.25">
      <c r="C6" s="481" t="s">
        <v>343</v>
      </c>
      <c r="D6" s="482">
        <v>0.28000000000000003</v>
      </c>
      <c r="F6" s="483" t="s">
        <v>43</v>
      </c>
      <c r="G6" s="483" t="s">
        <v>43</v>
      </c>
    </row>
    <row r="7" spans="1:14" x14ac:dyDescent="0.2">
      <c r="E7" s="125"/>
      <c r="F7" s="483">
        <v>50</v>
      </c>
      <c r="G7" s="483">
        <v>30</v>
      </c>
    </row>
    <row r="8" spans="1:14" ht="15" customHeight="1" x14ac:dyDescent="0.2">
      <c r="A8" s="468"/>
      <c r="B8" s="734">
        <v>2022</v>
      </c>
      <c r="C8" s="734"/>
      <c r="D8" s="734"/>
      <c r="E8" s="734"/>
      <c r="F8" s="734" t="s">
        <v>344</v>
      </c>
      <c r="G8" s="734"/>
      <c r="H8" s="731">
        <v>2023</v>
      </c>
      <c r="I8" s="732"/>
      <c r="J8" s="732"/>
      <c r="K8" s="732"/>
    </row>
    <row r="9" spans="1:14" ht="14.45" customHeight="1" x14ac:dyDescent="0.2">
      <c r="A9" s="726" t="s">
        <v>107</v>
      </c>
      <c r="B9" s="726" t="s">
        <v>345</v>
      </c>
      <c r="C9" s="727" t="s">
        <v>346</v>
      </c>
      <c r="D9" s="729" t="s">
        <v>251</v>
      </c>
      <c r="E9" s="727" t="s">
        <v>247</v>
      </c>
      <c r="F9" s="730" t="s">
        <v>248</v>
      </c>
      <c r="G9" s="728" t="s">
        <v>249</v>
      </c>
      <c r="H9" s="728" t="s">
        <v>347</v>
      </c>
      <c r="I9" s="735" t="s">
        <v>251</v>
      </c>
      <c r="J9" s="614" t="s">
        <v>144</v>
      </c>
      <c r="K9" s="736" t="s">
        <v>137</v>
      </c>
    </row>
    <row r="10" spans="1:14" ht="27" customHeight="1" x14ac:dyDescent="0.25">
      <c r="A10" s="727"/>
      <c r="B10" s="727"/>
      <c r="C10" s="728"/>
      <c r="D10" s="730"/>
      <c r="E10" s="728"/>
      <c r="F10" s="730"/>
      <c r="G10" s="728"/>
      <c r="H10" s="728"/>
      <c r="I10" s="735"/>
      <c r="J10" s="615"/>
      <c r="K10" s="737"/>
      <c r="M10"/>
    </row>
    <row r="11" spans="1:14" ht="15" x14ac:dyDescent="0.25">
      <c r="A11" s="457" t="s">
        <v>252</v>
      </c>
      <c r="B11" s="393"/>
      <c r="C11" s="389">
        <v>11927</v>
      </c>
      <c r="D11" s="440">
        <f>SUM(D12:D44)</f>
        <v>42482.058999999987</v>
      </c>
      <c r="E11" s="435">
        <f>C11/D11*100</f>
        <v>28.075381186208521</v>
      </c>
      <c r="F11" s="484"/>
      <c r="G11" s="434"/>
      <c r="H11" s="434">
        <f t="shared" ref="H11:I11" si="0">SUM(H12:H44)</f>
        <v>12231.622648</v>
      </c>
      <c r="I11" s="485">
        <f t="shared" si="0"/>
        <v>43781.024999999994</v>
      </c>
      <c r="J11" s="484">
        <f>H11/I11*100</f>
        <v>27.938182461465903</v>
      </c>
      <c r="K11" s="486"/>
      <c r="M11"/>
    </row>
    <row r="12" spans="1:14" ht="15" x14ac:dyDescent="0.25">
      <c r="A12" s="458" t="s">
        <v>6</v>
      </c>
      <c r="B12" s="445">
        <v>0.15587513751620699</v>
      </c>
      <c r="C12" s="444">
        <v>1114</v>
      </c>
      <c r="D12" s="446">
        <f>'[3]DM2 '!$J$12</f>
        <v>4822.0259999999998</v>
      </c>
      <c r="E12" s="445">
        <f>C12/D12</f>
        <v>0.23102322550728677</v>
      </c>
      <c r="F12" s="491">
        <f>$D$6-E12</f>
        <v>4.897677449271326E-2</v>
      </c>
      <c r="G12" s="460">
        <f>((C12*F12)/E12)*$G$7%</f>
        <v>70.850184000000041</v>
      </c>
      <c r="H12" s="460">
        <f>C12+G12</f>
        <v>1184.8501840000001</v>
      </c>
      <c r="I12" s="463">
        <v>4961.0339999999997</v>
      </c>
      <c r="J12" s="378">
        <f>H12/I12</f>
        <v>0.23883129686271051</v>
      </c>
      <c r="K12" s="449">
        <v>23.9</v>
      </c>
      <c r="M12" s="591"/>
      <c r="N12" s="448"/>
    </row>
    <row r="13" spans="1:14" ht="15" x14ac:dyDescent="0.25">
      <c r="A13" s="458" t="s">
        <v>8</v>
      </c>
      <c r="B13" s="445">
        <v>0.16719587302409802</v>
      </c>
      <c r="C13" s="444">
        <v>604</v>
      </c>
      <c r="D13" s="446">
        <f>'[3]DM2 '!$J$15</f>
        <v>2458.8000000000002</v>
      </c>
      <c r="E13" s="445">
        <f t="shared" ref="E13:E28" si="1">C13/D13</f>
        <v>0.24564828371563363</v>
      </c>
      <c r="F13" s="491">
        <f>$D$6-E13</f>
        <v>3.4351716284366396E-2</v>
      </c>
      <c r="G13" s="460">
        <f>((C13*F13)/E13)*$G$7%</f>
        <v>25.33920000000003</v>
      </c>
      <c r="H13" s="460">
        <f t="shared" ref="H13:H27" si="2">C13+G13</f>
        <v>629.33920000000001</v>
      </c>
      <c r="I13" s="463">
        <v>2487.8220000000001</v>
      </c>
      <c r="J13" s="378">
        <f>H13/I13</f>
        <v>0.25296793741674445</v>
      </c>
      <c r="K13" s="449">
        <v>25.3</v>
      </c>
      <c r="M13" s="591"/>
      <c r="N13" s="448"/>
    </row>
    <row r="14" spans="1:14" ht="15" x14ac:dyDescent="0.25">
      <c r="A14" s="458" t="s">
        <v>9</v>
      </c>
      <c r="B14" s="445">
        <v>0.19888217237219263</v>
      </c>
      <c r="C14" s="444">
        <v>740</v>
      </c>
      <c r="D14" s="446">
        <f>'[3]DM2 '!$J$16</f>
        <v>2691.4949999999999</v>
      </c>
      <c r="E14" s="445">
        <f t="shared" si="1"/>
        <v>0.27494013550090191</v>
      </c>
      <c r="F14" s="491">
        <f>$D$6-E14</f>
        <v>5.0598644990981212E-3</v>
      </c>
      <c r="G14" s="460">
        <f>((C14*F14)/E14)*$G$7%</f>
        <v>4.0855800000000295</v>
      </c>
      <c r="H14" s="460">
        <f t="shared" si="2"/>
        <v>744.08558000000005</v>
      </c>
      <c r="I14" s="463">
        <v>2733.0990000000002</v>
      </c>
      <c r="J14" s="378">
        <f>H14/I14</f>
        <v>0.27224977214509977</v>
      </c>
      <c r="K14" s="487">
        <v>27.5</v>
      </c>
      <c r="M14" s="591"/>
      <c r="N14" s="448"/>
    </row>
    <row r="15" spans="1:14" ht="15" x14ac:dyDescent="0.25">
      <c r="A15" s="458" t="s">
        <v>10</v>
      </c>
      <c r="B15" s="489">
        <v>0.31632953737888481</v>
      </c>
      <c r="C15" s="458">
        <v>128</v>
      </c>
      <c r="D15" s="490">
        <f>'[3]DM2 '!$J$17</f>
        <v>462.71100000000001</v>
      </c>
      <c r="E15" s="489">
        <f t="shared" si="1"/>
        <v>0.27663055341238912</v>
      </c>
      <c r="F15" s="459">
        <f>$D$6-E15</f>
        <v>3.3694465876109025E-3</v>
      </c>
      <c r="G15" s="460">
        <f>((C15*F15)/E15)*$F$7%</f>
        <v>0.77954000000001422</v>
      </c>
      <c r="H15" s="460">
        <f>C15+G15</f>
        <v>128.77954000000003</v>
      </c>
      <c r="I15" s="463">
        <v>484.95</v>
      </c>
      <c r="J15" s="378">
        <f>H15/I15</f>
        <v>0.26555220125786172</v>
      </c>
      <c r="K15" s="487">
        <v>27.7</v>
      </c>
      <c r="M15" s="591"/>
      <c r="N15" s="448"/>
    </row>
    <row r="16" spans="1:14" ht="15" x14ac:dyDescent="0.25">
      <c r="A16" s="458" t="s">
        <v>11</v>
      </c>
      <c r="B16" s="489">
        <v>0.30791910502434633</v>
      </c>
      <c r="C16" s="458">
        <v>648</v>
      </c>
      <c r="D16" s="490">
        <f>'[3]DM2 '!$J$13</f>
        <v>1947.9749999999999</v>
      </c>
      <c r="E16" s="489">
        <f t="shared" si="1"/>
        <v>0.33265313979902206</v>
      </c>
      <c r="F16" s="459">
        <v>0</v>
      </c>
      <c r="G16" s="460">
        <f>((C16*F16)/E16)*$F$7%</f>
        <v>0</v>
      </c>
      <c r="H16" s="460">
        <f t="shared" si="2"/>
        <v>648</v>
      </c>
      <c r="I16" s="463">
        <v>2007.0179999999998</v>
      </c>
      <c r="J16" s="378">
        <f t="shared" ref="J16:J44" si="3">H16/I16</f>
        <v>0.32286705948825573</v>
      </c>
      <c r="K16" s="487">
        <v>33.299999999999997</v>
      </c>
      <c r="M16" s="591"/>
      <c r="N16" s="448"/>
    </row>
    <row r="17" spans="1:14" ht="15" x14ac:dyDescent="0.25">
      <c r="A17" s="458" t="s">
        <v>12</v>
      </c>
      <c r="B17" s="445">
        <v>0.2086026700572155</v>
      </c>
      <c r="C17" s="444">
        <v>276</v>
      </c>
      <c r="D17" s="446">
        <f>'[3]DM2 '!$J$14</f>
        <v>1215.567</v>
      </c>
      <c r="E17" s="445">
        <f t="shared" si="1"/>
        <v>0.22705453504413989</v>
      </c>
      <c r="F17" s="491">
        <f>$D$6-E17</f>
        <v>5.2945464955860139E-2</v>
      </c>
      <c r="G17" s="460">
        <f>((C17*F17)/E17)*$G$7%</f>
        <v>19.307628000000012</v>
      </c>
      <c r="H17" s="460">
        <f t="shared" si="2"/>
        <v>295.30762800000002</v>
      </c>
      <c r="I17" s="463">
        <v>1308.4830000000002</v>
      </c>
      <c r="J17" s="378">
        <f t="shared" si="3"/>
        <v>0.22568701924289425</v>
      </c>
      <c r="K17" s="487">
        <v>22.7</v>
      </c>
      <c r="M17" s="591"/>
      <c r="N17" s="448"/>
    </row>
    <row r="18" spans="1:14" ht="15" x14ac:dyDescent="0.25">
      <c r="A18" s="458" t="s">
        <v>23</v>
      </c>
      <c r="B18" s="445">
        <v>0.21870164416104027</v>
      </c>
      <c r="C18" s="444">
        <v>269</v>
      </c>
      <c r="D18" s="446">
        <f>'[3]DM2 '!$J$35</f>
        <v>1030.365</v>
      </c>
      <c r="E18" s="445">
        <f t="shared" si="1"/>
        <v>0.2610725325491452</v>
      </c>
      <c r="F18" s="491">
        <f>$D$6-E18</f>
        <v>1.8927467450854829E-2</v>
      </c>
      <c r="G18" s="460">
        <f>((C18*F18)/E18)*$G$7%</f>
        <v>5.8506600000000102</v>
      </c>
      <c r="H18" s="460">
        <f t="shared" si="2"/>
        <v>274.85066</v>
      </c>
      <c r="I18" s="463">
        <v>1068.846</v>
      </c>
      <c r="J18" s="378">
        <f t="shared" si="3"/>
        <v>0.25714711006075713</v>
      </c>
      <c r="K18" s="487">
        <v>26.1</v>
      </c>
      <c r="M18" s="591"/>
      <c r="N18" s="448"/>
    </row>
    <row r="19" spans="1:14" ht="15" x14ac:dyDescent="0.25">
      <c r="A19" s="458" t="s">
        <v>13</v>
      </c>
      <c r="B19" s="445">
        <v>0.28004237483303396</v>
      </c>
      <c r="C19" s="444">
        <v>628</v>
      </c>
      <c r="D19" s="446">
        <f>'[3]DM2 '!J19</f>
        <v>2210.5950000000003</v>
      </c>
      <c r="E19" s="445">
        <f t="shared" si="1"/>
        <v>0.2840864111246067</v>
      </c>
      <c r="F19" s="491">
        <f>$D$6-E19</f>
        <v>-4.0864111246066703E-3</v>
      </c>
      <c r="G19" s="460">
        <v>0</v>
      </c>
      <c r="H19" s="460">
        <f t="shared" si="2"/>
        <v>628</v>
      </c>
      <c r="I19" s="463">
        <v>2299.011</v>
      </c>
      <c r="J19" s="378">
        <f t="shared" si="3"/>
        <v>0.27316093746397907</v>
      </c>
      <c r="K19" s="487">
        <v>28.4</v>
      </c>
      <c r="M19" s="591"/>
      <c r="N19" s="448"/>
    </row>
    <row r="20" spans="1:14" ht="15" x14ac:dyDescent="0.25">
      <c r="A20" s="458" t="s">
        <v>14</v>
      </c>
      <c r="B20" s="489">
        <v>0.27827886586558176</v>
      </c>
      <c r="C20" s="458">
        <v>314</v>
      </c>
      <c r="D20" s="490">
        <f>'[3]DM2 '!J20</f>
        <v>1172.817</v>
      </c>
      <c r="E20" s="489">
        <f t="shared" si="1"/>
        <v>0.26773145341515342</v>
      </c>
      <c r="F20" s="491">
        <f>$D$6-E20</f>
        <v>1.2268546584846607E-2</v>
      </c>
      <c r="G20" s="460">
        <f>((C20*F20)/E20)*$F$7%</f>
        <v>7.194380000000022</v>
      </c>
      <c r="H20" s="460">
        <f>C20+G20</f>
        <v>321.19438000000002</v>
      </c>
      <c r="I20" s="463">
        <v>1264.9589999999998</v>
      </c>
      <c r="J20" s="378">
        <f t="shared" si="3"/>
        <v>0.25391683050596903</v>
      </c>
      <c r="K20" s="487">
        <v>26.8</v>
      </c>
      <c r="M20" s="591"/>
      <c r="N20" s="448"/>
    </row>
    <row r="21" spans="1:14" ht="15" x14ac:dyDescent="0.25">
      <c r="A21" s="458" t="s">
        <v>15</v>
      </c>
      <c r="B21" s="445">
        <v>0.21535195665990739</v>
      </c>
      <c r="C21" s="444">
        <v>113</v>
      </c>
      <c r="D21" s="446">
        <f>'[3]DM2 '!$J$39</f>
        <v>508.11299999999994</v>
      </c>
      <c r="E21" s="445">
        <f t="shared" si="1"/>
        <v>0.22239147591185429</v>
      </c>
      <c r="F21" s="491">
        <f>$D$6-E21</f>
        <v>5.7608524088145735E-2</v>
      </c>
      <c r="G21" s="460">
        <f t="shared" ref="G21:G24" si="4">((C21*F21)/E21)*$G$7%</f>
        <v>8.7814919999999965</v>
      </c>
      <c r="H21" s="460">
        <f t="shared" si="2"/>
        <v>121.781492</v>
      </c>
      <c r="I21" s="463">
        <v>515.43000000000006</v>
      </c>
      <c r="J21" s="378">
        <f t="shared" si="3"/>
        <v>0.23627164115398791</v>
      </c>
      <c r="K21" s="449">
        <v>23.6</v>
      </c>
      <c r="M21" s="591"/>
      <c r="N21" s="448"/>
    </row>
    <row r="22" spans="1:14" ht="15" x14ac:dyDescent="0.25">
      <c r="A22" s="458" t="s">
        <v>16</v>
      </c>
      <c r="B22" s="445">
        <v>0.25802113113735242</v>
      </c>
      <c r="C22" s="444">
        <v>297</v>
      </c>
      <c r="D22" s="446">
        <f>'[3]DM2 '!$J$46</f>
        <v>993.65699999999993</v>
      </c>
      <c r="E22" s="445">
        <f t="shared" si="1"/>
        <v>0.29889589667259431</v>
      </c>
      <c r="F22" s="491">
        <v>0</v>
      </c>
      <c r="G22" s="460">
        <f t="shared" si="4"/>
        <v>0</v>
      </c>
      <c r="H22" s="460">
        <f>C22+G22</f>
        <v>297</v>
      </c>
      <c r="I22" s="463">
        <v>1029.7560000000001</v>
      </c>
      <c r="J22" s="378">
        <f>H22/I22</f>
        <v>0.28841783878899463</v>
      </c>
      <c r="K22" s="449">
        <v>29.9</v>
      </c>
      <c r="M22" s="591"/>
      <c r="N22" s="448"/>
    </row>
    <row r="23" spans="1:14" ht="15" x14ac:dyDescent="0.25">
      <c r="A23" s="458" t="s">
        <v>17</v>
      </c>
      <c r="B23" s="445">
        <v>0.28076138681169271</v>
      </c>
      <c r="C23" s="444">
        <v>448</v>
      </c>
      <c r="D23" s="446">
        <f>'[3]DM2 '!$J$21</f>
        <v>1528.143</v>
      </c>
      <c r="E23" s="445">
        <f t="shared" si="1"/>
        <v>0.29316628090433944</v>
      </c>
      <c r="F23" s="491">
        <v>0</v>
      </c>
      <c r="G23" s="460">
        <f t="shared" si="4"/>
        <v>0</v>
      </c>
      <c r="H23" s="460">
        <f t="shared" si="2"/>
        <v>448</v>
      </c>
      <c r="I23" s="463">
        <v>1578.7560000000001</v>
      </c>
      <c r="J23" s="378">
        <f t="shared" si="3"/>
        <v>0.28376772598172229</v>
      </c>
      <c r="K23" s="449">
        <v>29.3</v>
      </c>
      <c r="M23" s="591"/>
      <c r="N23" s="448"/>
    </row>
    <row r="24" spans="1:14" ht="15" x14ac:dyDescent="0.25">
      <c r="A24" s="458" t="s">
        <v>18</v>
      </c>
      <c r="B24" s="445">
        <v>0.20895336147743263</v>
      </c>
      <c r="C24" s="444">
        <v>655</v>
      </c>
      <c r="D24" s="446">
        <f>'[3]DM2 '!$J$48</f>
        <v>2156.5410000000002</v>
      </c>
      <c r="E24" s="445">
        <f t="shared" si="1"/>
        <v>0.30372712598554813</v>
      </c>
      <c r="F24" s="491">
        <v>0</v>
      </c>
      <c r="G24" s="460">
        <f t="shared" si="4"/>
        <v>0</v>
      </c>
      <c r="H24" s="460">
        <f t="shared" si="2"/>
        <v>655</v>
      </c>
      <c r="I24" s="463">
        <v>2167.7399999999998</v>
      </c>
      <c r="J24" s="378">
        <f t="shared" si="3"/>
        <v>0.30215800787917374</v>
      </c>
      <c r="K24" s="449">
        <v>30.4</v>
      </c>
      <c r="M24" s="591"/>
      <c r="N24" s="448"/>
    </row>
    <row r="25" spans="1:14" ht="15" x14ac:dyDescent="0.25">
      <c r="A25" s="458" t="s">
        <v>19</v>
      </c>
      <c r="B25" s="445">
        <v>0.18473754272351142</v>
      </c>
      <c r="C25" s="444">
        <v>225</v>
      </c>
      <c r="D25" s="446">
        <f>'[3]DM2 '!J51</f>
        <v>998.24399999999991</v>
      </c>
      <c r="E25" s="445">
        <f t="shared" si="1"/>
        <v>0.2253957950160482</v>
      </c>
      <c r="F25" s="491">
        <f>$D$6-E25</f>
        <v>5.4604204983951826E-2</v>
      </c>
      <c r="G25" s="460">
        <f>((C25*F25)/E25)*$G$7%</f>
        <v>16.352496000000002</v>
      </c>
      <c r="H25" s="460">
        <f>C25+G25</f>
        <v>241.352496</v>
      </c>
      <c r="I25" s="463">
        <v>1022.7660000000001</v>
      </c>
      <c r="J25" s="378">
        <f t="shared" si="3"/>
        <v>0.23598017141750899</v>
      </c>
      <c r="K25" s="449">
        <v>23.6</v>
      </c>
      <c r="M25" s="591"/>
      <c r="N25" s="448"/>
    </row>
    <row r="26" spans="1:14" ht="15" x14ac:dyDescent="0.25">
      <c r="A26" s="458" t="s">
        <v>20</v>
      </c>
      <c r="B26" s="445">
        <v>0.18878635227064816</v>
      </c>
      <c r="C26" s="444">
        <v>159</v>
      </c>
      <c r="D26" s="446">
        <f>'[3]DM2 '!J52</f>
        <v>552.33299999999997</v>
      </c>
      <c r="E26" s="445">
        <f t="shared" si="1"/>
        <v>0.28786981766434383</v>
      </c>
      <c r="F26" s="491">
        <v>0</v>
      </c>
      <c r="G26" s="460">
        <f>((C26*F26)/E26)*$G$7%</f>
        <v>0</v>
      </c>
      <c r="H26" s="460">
        <f t="shared" si="2"/>
        <v>159</v>
      </c>
      <c r="I26" s="463">
        <v>565.96500000000003</v>
      </c>
      <c r="J26" s="378">
        <f t="shared" si="3"/>
        <v>0.2809361002888871</v>
      </c>
      <c r="K26" s="449">
        <v>28.8</v>
      </c>
      <c r="M26" s="591"/>
      <c r="N26" s="448"/>
    </row>
    <row r="27" spans="1:14" ht="15" x14ac:dyDescent="0.25">
      <c r="A27" s="458" t="s">
        <v>21</v>
      </c>
      <c r="B27" s="445">
        <v>0.21259748770218984</v>
      </c>
      <c r="C27" s="444">
        <v>159</v>
      </c>
      <c r="D27" s="446">
        <f>'[3]DM2 '!J53</f>
        <v>479.03099999999995</v>
      </c>
      <c r="E27" s="445">
        <f t="shared" si="1"/>
        <v>0.33192006362844995</v>
      </c>
      <c r="F27" s="491">
        <v>0</v>
      </c>
      <c r="G27" s="460">
        <f>((C27*F27)/E27)*$G$7%</f>
        <v>0</v>
      </c>
      <c r="H27" s="460">
        <f t="shared" si="2"/>
        <v>159</v>
      </c>
      <c r="I27" s="463">
        <v>501.25199999999995</v>
      </c>
      <c r="J27" s="378">
        <f t="shared" si="3"/>
        <v>0.31720571688492016</v>
      </c>
      <c r="K27" s="449">
        <v>33.200000000000003</v>
      </c>
      <c r="M27" s="591"/>
      <c r="N27" s="448"/>
    </row>
    <row r="28" spans="1:14" ht="15" x14ac:dyDescent="0.25">
      <c r="A28" s="458" t="s">
        <v>22</v>
      </c>
      <c r="B28" s="458">
        <f>0.263*100</f>
        <v>26.3</v>
      </c>
      <c r="C28" s="458">
        <v>129</v>
      </c>
      <c r="D28" s="490">
        <f>'[3]DM2 '!$J$36</f>
        <v>716.03099999999995</v>
      </c>
      <c r="E28" s="489">
        <f t="shared" si="1"/>
        <v>0.18015979755066472</v>
      </c>
      <c r="F28" s="459">
        <f>$D$6-E28</f>
        <v>9.9840202449335308E-2</v>
      </c>
      <c r="G28" s="460">
        <f>((C28*F28)/E28)*F7%</f>
        <v>35.744340000000001</v>
      </c>
      <c r="H28" s="460">
        <f>C28+G28</f>
        <v>164.74433999999999</v>
      </c>
      <c r="I28" s="463">
        <v>727.77299999999991</v>
      </c>
      <c r="J28" s="378">
        <f t="shared" si="3"/>
        <v>0.22636775478068025</v>
      </c>
      <c r="K28" s="449">
        <v>22.6</v>
      </c>
      <c r="M28" s="591"/>
      <c r="N28" s="448"/>
    </row>
    <row r="29" spans="1:14" x14ac:dyDescent="0.2">
      <c r="A29" s="457" t="s">
        <v>253</v>
      </c>
      <c r="B29" s="393"/>
      <c r="C29" s="389"/>
      <c r="D29" s="440"/>
      <c r="E29" s="435"/>
      <c r="F29" s="484"/>
      <c r="G29" s="434"/>
      <c r="H29" s="434"/>
      <c r="I29" s="485"/>
      <c r="J29" s="484"/>
      <c r="K29" s="486"/>
      <c r="N29" s="448"/>
    </row>
    <row r="30" spans="1:14" ht="15" x14ac:dyDescent="0.25">
      <c r="A30" s="458" t="s">
        <v>29</v>
      </c>
      <c r="B30" s="445">
        <v>0.26900000000000002</v>
      </c>
      <c r="C30" s="444">
        <v>20</v>
      </c>
      <c r="D30" s="446">
        <f>'[3]DM2 '!$J$37</f>
        <v>56.835000000000001</v>
      </c>
      <c r="E30" s="445">
        <f t="shared" ref="E30:E36" si="5">C30/D30</f>
        <v>0.35189583883170583</v>
      </c>
      <c r="F30" s="491">
        <v>0</v>
      </c>
      <c r="G30" s="460">
        <f>((C30*F30)/E30)*$G$7%</f>
        <v>0</v>
      </c>
      <c r="H30" s="460">
        <f t="shared" ref="H30:H36" si="6">C30+G30</f>
        <v>20</v>
      </c>
      <c r="I30" s="463">
        <v>57</v>
      </c>
      <c r="J30" s="378">
        <f t="shared" si="3"/>
        <v>0.35087719298245612</v>
      </c>
      <c r="K30" s="449">
        <v>35</v>
      </c>
      <c r="M30" s="591"/>
      <c r="N30" s="448"/>
    </row>
    <row r="31" spans="1:14" ht="15" x14ac:dyDescent="0.25">
      <c r="A31" s="458" t="s">
        <v>24</v>
      </c>
      <c r="B31" s="445">
        <v>0.22600000000000001</v>
      </c>
      <c r="C31" s="444">
        <v>241</v>
      </c>
      <c r="D31" s="446">
        <f>'[3]DM2 '!$J$49</f>
        <v>718.41300000000001</v>
      </c>
      <c r="E31" s="445">
        <f>C31/D31</f>
        <v>0.33546163557730718</v>
      </c>
      <c r="F31" s="491">
        <v>0</v>
      </c>
      <c r="G31" s="460">
        <f>((C31*F31)/E31)*$G$7%</f>
        <v>0</v>
      </c>
      <c r="H31" s="460">
        <f>C31+G31</f>
        <v>241</v>
      </c>
      <c r="I31" s="463">
        <v>747</v>
      </c>
      <c r="J31" s="378">
        <f t="shared" si="3"/>
        <v>0.32262382864792505</v>
      </c>
      <c r="K31" s="449">
        <v>33.5</v>
      </c>
      <c r="M31" s="591"/>
      <c r="N31" s="448"/>
    </row>
    <row r="32" spans="1:14" ht="15" x14ac:dyDescent="0.25">
      <c r="A32" s="458" t="s">
        <v>26</v>
      </c>
      <c r="B32" s="445">
        <v>0.22900000000000001</v>
      </c>
      <c r="C32" s="444">
        <v>138</v>
      </c>
      <c r="D32" s="446">
        <f>'[3]DM2 '!$J$40</f>
        <v>379.62299999999999</v>
      </c>
      <c r="E32" s="445">
        <f t="shared" si="5"/>
        <v>0.36351854339700179</v>
      </c>
      <c r="F32" s="491">
        <v>0</v>
      </c>
      <c r="G32" s="460">
        <f>((C32*F32)/E32)*$G$7%</f>
        <v>0</v>
      </c>
      <c r="H32" s="460">
        <f t="shared" si="6"/>
        <v>138</v>
      </c>
      <c r="I32" s="463">
        <v>384</v>
      </c>
      <c r="J32" s="378">
        <f t="shared" si="3"/>
        <v>0.359375</v>
      </c>
      <c r="K32" s="449">
        <v>35</v>
      </c>
      <c r="M32" s="591"/>
      <c r="N32" s="448"/>
    </row>
    <row r="33" spans="1:14" ht="15" x14ac:dyDescent="0.25">
      <c r="A33" s="458" t="s">
        <v>27</v>
      </c>
      <c r="B33" s="445">
        <v>0.3</v>
      </c>
      <c r="C33" s="444">
        <v>260</v>
      </c>
      <c r="D33" s="446">
        <f>'[3]DM2 '!$J$38</f>
        <v>744.97800000000007</v>
      </c>
      <c r="E33" s="445">
        <f t="shared" si="5"/>
        <v>0.34900359473702575</v>
      </c>
      <c r="F33" s="491">
        <v>0</v>
      </c>
      <c r="G33" s="460">
        <f>((C33*F33)/E33)*$G$7%</f>
        <v>0</v>
      </c>
      <c r="H33" s="460">
        <f t="shared" si="6"/>
        <v>260</v>
      </c>
      <c r="I33" s="463">
        <v>767.17200000000003</v>
      </c>
      <c r="J33" s="378">
        <f t="shared" si="3"/>
        <v>0.33890705083084366</v>
      </c>
      <c r="K33" s="449">
        <v>34.9</v>
      </c>
      <c r="M33" s="591"/>
      <c r="N33" s="448"/>
    </row>
    <row r="34" spans="1:14" ht="15" x14ac:dyDescent="0.25">
      <c r="A34" s="458" t="s">
        <v>28</v>
      </c>
      <c r="B34" s="445">
        <v>0.246</v>
      </c>
      <c r="C34" s="444">
        <v>397</v>
      </c>
      <c r="D34" s="444">
        <v>682</v>
      </c>
      <c r="E34" s="445">
        <f t="shared" si="5"/>
        <v>0.58211143695014667</v>
      </c>
      <c r="F34" s="491">
        <v>0</v>
      </c>
      <c r="G34" s="460">
        <f>((C34*F34)/E34)*$G$7%</f>
        <v>0</v>
      </c>
      <c r="H34" s="460">
        <f t="shared" si="6"/>
        <v>397</v>
      </c>
      <c r="I34" s="463">
        <v>701.22</v>
      </c>
      <c r="J34" s="378">
        <f t="shared" si="3"/>
        <v>0.56615612789138925</v>
      </c>
      <c r="K34" s="449">
        <v>35</v>
      </c>
      <c r="M34" s="591"/>
      <c r="N34" s="448"/>
    </row>
    <row r="35" spans="1:14" ht="15" x14ac:dyDescent="0.25">
      <c r="A35" s="458" t="s">
        <v>30</v>
      </c>
      <c r="B35" s="489">
        <v>0.23400000000000001</v>
      </c>
      <c r="C35" s="458">
        <v>97</v>
      </c>
      <c r="D35" s="490">
        <f>'[3]DM2 '!$J$45</f>
        <v>780.96900000000005</v>
      </c>
      <c r="E35" s="489">
        <f t="shared" si="5"/>
        <v>0.1242046739371217</v>
      </c>
      <c r="F35" s="491">
        <f>$D$6-E35</f>
        <v>0.15579532606287833</v>
      </c>
      <c r="G35" s="460">
        <f>((C35*F35)/E35)*F7%</f>
        <v>60.835660000000011</v>
      </c>
      <c r="H35" s="460">
        <f t="shared" si="6"/>
        <v>157.83566000000002</v>
      </c>
      <c r="I35" s="463">
        <v>800.97</v>
      </c>
      <c r="J35" s="378">
        <f t="shared" si="3"/>
        <v>0.19705564503040066</v>
      </c>
      <c r="K35" s="449">
        <v>19.7</v>
      </c>
      <c r="M35" s="591"/>
      <c r="N35" s="448"/>
    </row>
    <row r="36" spans="1:14" ht="15" x14ac:dyDescent="0.25">
      <c r="A36" s="458" t="s">
        <v>31</v>
      </c>
      <c r="B36" s="445">
        <v>0.221</v>
      </c>
      <c r="C36" s="444">
        <v>162</v>
      </c>
      <c r="D36" s="446">
        <f>'[3]DM2 '!$J$44</f>
        <v>721.76400000000001</v>
      </c>
      <c r="E36" s="445">
        <f t="shared" si="5"/>
        <v>0.22445009726170881</v>
      </c>
      <c r="F36" s="491">
        <f>$D$6-E36</f>
        <v>5.5549902738291218E-2</v>
      </c>
      <c r="G36" s="460">
        <f>((C36*F36)/E36)*$G$7%</f>
        <v>12.028176000000006</v>
      </c>
      <c r="H36" s="460">
        <f t="shared" si="6"/>
        <v>174.028176</v>
      </c>
      <c r="I36" s="463">
        <v>744.327</v>
      </c>
      <c r="J36" s="378">
        <f t="shared" si="3"/>
        <v>0.23380607716769647</v>
      </c>
      <c r="K36" s="449">
        <v>23.4</v>
      </c>
      <c r="M36" s="591"/>
      <c r="N36" s="448"/>
    </row>
    <row r="37" spans="1:14" x14ac:dyDescent="0.2">
      <c r="A37" s="457" t="s">
        <v>254</v>
      </c>
      <c r="B37" s="435"/>
      <c r="C37" s="389"/>
      <c r="D37" s="440"/>
      <c r="E37" s="435"/>
      <c r="F37" s="484"/>
      <c r="G37" s="434"/>
      <c r="H37" s="434"/>
      <c r="I37" s="485"/>
      <c r="J37" s="435"/>
      <c r="K37" s="488"/>
      <c r="N37" s="448"/>
    </row>
    <row r="38" spans="1:14" ht="15" x14ac:dyDescent="0.25">
      <c r="A38" s="458" t="s">
        <v>37</v>
      </c>
      <c r="B38" s="445">
        <v>0.23400000000000001</v>
      </c>
      <c r="C38" s="444">
        <v>824</v>
      </c>
      <c r="D38" s="446">
        <f>'[3]DM2 '!$J$30</f>
        <v>3388.9679999999998</v>
      </c>
      <c r="E38" s="445">
        <f t="shared" ref="E38:E44" si="7">C38/D38</f>
        <v>0.24314186501613472</v>
      </c>
      <c r="F38" s="491">
        <f>$D$6-E38</f>
        <v>3.6858134983865309E-2</v>
      </c>
      <c r="G38" s="460">
        <f>((C38*F38)/E38)*$G$7%</f>
        <v>37.473312000000014</v>
      </c>
      <c r="H38" s="460">
        <f t="shared" ref="H38:H44" si="8">C38+G38</f>
        <v>861.47331199999996</v>
      </c>
      <c r="I38" s="463">
        <v>3487.9889999999996</v>
      </c>
      <c r="J38" s="378">
        <f t="shared" si="3"/>
        <v>0.24698280642513495</v>
      </c>
      <c r="K38" s="449">
        <v>24.7</v>
      </c>
      <c r="M38" s="591"/>
      <c r="N38" s="448"/>
    </row>
    <row r="39" spans="1:14" ht="15" x14ac:dyDescent="0.25">
      <c r="A39" s="458" t="s">
        <v>36</v>
      </c>
      <c r="B39" s="445">
        <v>0.24099999999999999</v>
      </c>
      <c r="C39" s="444">
        <v>857</v>
      </c>
      <c r="D39" s="446">
        <f>'[3]DM2 '!$J$29</f>
        <v>2736.1259999999997</v>
      </c>
      <c r="E39" s="445">
        <f t="shared" si="7"/>
        <v>0.31321656970475775</v>
      </c>
      <c r="F39" s="491">
        <v>0</v>
      </c>
      <c r="G39" s="460">
        <f>((C39*F39)/E39)*$G$7%</f>
        <v>0</v>
      </c>
      <c r="H39" s="460">
        <f t="shared" si="8"/>
        <v>857</v>
      </c>
      <c r="I39" s="463">
        <v>2783.1869999999999</v>
      </c>
      <c r="J39" s="378">
        <f t="shared" si="3"/>
        <v>0.30792038048467457</v>
      </c>
      <c r="K39" s="449">
        <v>31.3</v>
      </c>
      <c r="M39" s="591"/>
      <c r="N39" s="448"/>
    </row>
    <row r="40" spans="1:14" ht="15" x14ac:dyDescent="0.25">
      <c r="A40" s="458" t="s">
        <v>32</v>
      </c>
      <c r="B40" s="445">
        <v>0.20699999999999999</v>
      </c>
      <c r="C40" s="444">
        <v>799</v>
      </c>
      <c r="D40" s="446">
        <f>'[3]DM2 '!J26</f>
        <v>2440.5839999999998</v>
      </c>
      <c r="E40" s="445">
        <f t="shared" si="7"/>
        <v>0.32738065971095442</v>
      </c>
      <c r="F40" s="491">
        <v>0</v>
      </c>
      <c r="G40" s="460">
        <f>((C40*F40)/E40)*$G$7%</f>
        <v>0</v>
      </c>
      <c r="H40" s="460">
        <f t="shared" si="8"/>
        <v>799</v>
      </c>
      <c r="I40" s="463">
        <v>2532.0540000000001</v>
      </c>
      <c r="J40" s="378">
        <f t="shared" si="3"/>
        <v>0.31555409165839277</v>
      </c>
      <c r="K40" s="449">
        <v>32.700000000000003</v>
      </c>
      <c r="M40" s="591"/>
      <c r="N40" s="448"/>
    </row>
    <row r="41" spans="1:14" ht="15" x14ac:dyDescent="0.25">
      <c r="A41" s="458" t="s">
        <v>34</v>
      </c>
      <c r="B41" s="445">
        <v>0.23300000000000001</v>
      </c>
      <c r="C41" s="444">
        <v>162</v>
      </c>
      <c r="D41" s="446">
        <f>'[3]DM2 '!J27</f>
        <v>449.36699999999996</v>
      </c>
      <c r="E41" s="445">
        <f t="shared" si="7"/>
        <v>0.36050711333943081</v>
      </c>
      <c r="F41" s="491">
        <v>0</v>
      </c>
      <c r="G41" s="460">
        <f>((C41*F41)/E41)*$G$7%</f>
        <v>0</v>
      </c>
      <c r="H41" s="460">
        <f t="shared" si="8"/>
        <v>162</v>
      </c>
      <c r="I41" s="463">
        <v>466.94099999999997</v>
      </c>
      <c r="J41" s="378">
        <f t="shared" si="3"/>
        <v>0.34693890662846055</v>
      </c>
      <c r="K41" s="449">
        <v>35</v>
      </c>
      <c r="M41" s="591"/>
      <c r="N41" s="448"/>
    </row>
    <row r="42" spans="1:14" ht="15" x14ac:dyDescent="0.25">
      <c r="A42" s="458" t="s">
        <v>35</v>
      </c>
      <c r="B42" s="445">
        <v>0.28199999999999997</v>
      </c>
      <c r="C42" s="444">
        <v>496</v>
      </c>
      <c r="D42" s="446">
        <f>'[3]DM2 '!$J$34</f>
        <v>1460.6880000000001</v>
      </c>
      <c r="E42" s="445">
        <f t="shared" si="7"/>
        <v>0.3395660127282486</v>
      </c>
      <c r="F42" s="491">
        <v>0</v>
      </c>
      <c r="G42" s="460">
        <f>((C42*F42)/E42)*$G$7%</f>
        <v>0</v>
      </c>
      <c r="H42" s="460">
        <f t="shared" si="8"/>
        <v>496</v>
      </c>
      <c r="I42" s="463">
        <v>1477.1399999999999</v>
      </c>
      <c r="J42" s="378">
        <f t="shared" si="3"/>
        <v>0.33578401505612199</v>
      </c>
      <c r="K42" s="449">
        <v>34</v>
      </c>
      <c r="M42" s="591"/>
      <c r="N42" s="448"/>
    </row>
    <row r="43" spans="1:14" ht="15" x14ac:dyDescent="0.25">
      <c r="A43" s="458" t="s">
        <v>38</v>
      </c>
      <c r="B43" s="445">
        <v>0.24399999999999999</v>
      </c>
      <c r="C43" s="444">
        <v>165</v>
      </c>
      <c r="D43" s="446">
        <f>'[3]DM2 '!$J$54</f>
        <v>581.54700000000003</v>
      </c>
      <c r="E43" s="445">
        <f t="shared" si="7"/>
        <v>0.28372599291200884</v>
      </c>
      <c r="F43" s="491">
        <f>$D$6-E43</f>
        <v>-3.7259929120088131E-3</v>
      </c>
      <c r="G43" s="460">
        <v>0</v>
      </c>
      <c r="H43" s="460">
        <f t="shared" si="8"/>
        <v>165</v>
      </c>
      <c r="I43" s="463">
        <v>607.75800000000004</v>
      </c>
      <c r="J43" s="378">
        <f t="shared" si="3"/>
        <v>0.27148963896814193</v>
      </c>
      <c r="K43" s="449">
        <v>28.4</v>
      </c>
      <c r="M43" s="591"/>
      <c r="N43" s="448"/>
    </row>
    <row r="44" spans="1:14" ht="15" x14ac:dyDescent="0.25">
      <c r="A44" s="458" t="s">
        <v>39</v>
      </c>
      <c r="B44" s="489">
        <v>0.34699999999999998</v>
      </c>
      <c r="C44" s="458">
        <v>403</v>
      </c>
      <c r="D44" s="490">
        <f>'[3]DM2 '!$J$31</f>
        <v>1395.7529999999999</v>
      </c>
      <c r="E44" s="489">
        <f t="shared" si="7"/>
        <v>0.2887330351430375</v>
      </c>
      <c r="F44" s="491">
        <v>0</v>
      </c>
      <c r="G44" s="460">
        <f>((C44*F44)/E44)*$F$7%</f>
        <v>0</v>
      </c>
      <c r="H44" s="460">
        <f t="shared" si="8"/>
        <v>403</v>
      </c>
      <c r="I44" s="463">
        <v>1499.607</v>
      </c>
      <c r="J44" s="378">
        <f t="shared" si="3"/>
        <v>0.2687370757805212</v>
      </c>
      <c r="K44" s="449">
        <v>28.9</v>
      </c>
      <c r="M44" s="591"/>
      <c r="N44" s="448"/>
    </row>
    <row r="45" spans="1:14" x14ac:dyDescent="0.2">
      <c r="A45" s="457" t="s">
        <v>255</v>
      </c>
      <c r="B45" s="435"/>
      <c r="C45" s="389"/>
      <c r="D45" s="440"/>
      <c r="E45" s="435"/>
      <c r="F45" s="484"/>
      <c r="G45" s="434"/>
      <c r="H45" s="434"/>
      <c r="I45" s="485"/>
      <c r="J45" s="435"/>
      <c r="K45" s="488"/>
    </row>
    <row r="46" spans="1:14" ht="15" x14ac:dyDescent="0.25">
      <c r="M46"/>
    </row>
    <row r="47" spans="1:14" ht="15" x14ac:dyDescent="0.25">
      <c r="M47"/>
    </row>
    <row r="48" spans="1:14" ht="15" x14ac:dyDescent="0.25">
      <c r="M48"/>
    </row>
    <row r="49" spans="13:13" ht="15" x14ac:dyDescent="0.25">
      <c r="M49"/>
    </row>
    <row r="50" spans="13:13" ht="15" x14ac:dyDescent="0.25">
      <c r="M50"/>
    </row>
    <row r="51" spans="13:13" ht="15" x14ac:dyDescent="0.25">
      <c r="M51"/>
    </row>
    <row r="52" spans="13:13" ht="15" x14ac:dyDescent="0.25">
      <c r="M52"/>
    </row>
    <row r="53" spans="13:13" ht="15" x14ac:dyDescent="0.25">
      <c r="M53"/>
    </row>
    <row r="54" spans="13:13" ht="15" x14ac:dyDescent="0.25">
      <c r="M54"/>
    </row>
    <row r="55" spans="13:13" ht="15" x14ac:dyDescent="0.25">
      <c r="M55"/>
    </row>
  </sheetData>
  <mergeCells count="15">
    <mergeCell ref="H8:K8"/>
    <mergeCell ref="F9:F10"/>
    <mergeCell ref="B4:J4"/>
    <mergeCell ref="B8:E8"/>
    <mergeCell ref="F8:G8"/>
    <mergeCell ref="G9:G10"/>
    <mergeCell ref="H9:H10"/>
    <mergeCell ref="I9:I10"/>
    <mergeCell ref="J9:J10"/>
    <mergeCell ref="K9:K10"/>
    <mergeCell ref="A9:A10"/>
    <mergeCell ref="B9:B10"/>
    <mergeCell ref="C9:C10"/>
    <mergeCell ref="D9:D10"/>
    <mergeCell ref="E9:E10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2</vt:i4>
      </vt:variant>
    </vt:vector>
  </HeadingPairs>
  <TitlesOfParts>
    <vt:vector size="26" baseType="lpstr">
      <vt:lpstr>Portada</vt:lpstr>
      <vt:lpstr>1</vt:lpstr>
      <vt:lpstr>2</vt:lpstr>
      <vt:lpstr>PAP ref</vt:lpstr>
      <vt:lpstr>3a</vt:lpstr>
      <vt:lpstr>3b</vt:lpstr>
      <vt:lpstr>Odon. ref</vt:lpstr>
      <vt:lpstr>4a</vt:lpstr>
      <vt:lpstr>4a -DM2 Ref</vt:lpstr>
      <vt:lpstr>4b - Cálculo</vt:lpstr>
      <vt:lpstr>4b</vt:lpstr>
      <vt:lpstr>5</vt:lpstr>
      <vt:lpstr>5 - HTA ref</vt:lpstr>
      <vt:lpstr>6</vt:lpstr>
      <vt:lpstr>6 - meta 2023 Ref</vt:lpstr>
      <vt:lpstr>6 - Cálculo brecha Ref</vt:lpstr>
      <vt:lpstr>Diciembre 2022</vt:lpstr>
      <vt:lpstr>META 7</vt:lpstr>
      <vt:lpstr>7</vt:lpstr>
      <vt:lpstr>8</vt:lpstr>
      <vt:lpstr>2023</vt:lpstr>
      <vt:lpstr>Hoja1</vt:lpstr>
      <vt:lpstr>Consolidado</vt:lpstr>
      <vt:lpstr>Cálculo brechas 2022</vt:lpstr>
      <vt:lpstr>'5'!Área_de_impresión</vt:lpstr>
      <vt:lpstr>Consolidado!Área_de_impresión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Carla Ruiz D. (DSS)</dc:creator>
  <cp:lastModifiedBy>Maria Soledad Retamal Y. (DSS)</cp:lastModifiedBy>
  <cp:lastPrinted>2023-02-21T15:15:00Z</cp:lastPrinted>
  <dcterms:created xsi:type="dcterms:W3CDTF">2021-09-29T14:28:56Z</dcterms:created>
  <dcterms:modified xsi:type="dcterms:W3CDTF">2023-03-24T18:54:27Z</dcterms:modified>
</cp:coreProperties>
</file>